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Stavební rozpočet" sheetId="1" r:id="rId1"/>
    <sheet name="Rozpočet - Jen podskupiny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<sst xmlns="http://schemas.openxmlformats.org/spreadsheetml/2006/main" count="6153" uniqueCount="3545">
  <si>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</si>
  <si>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</si>
  <si>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</si>
  <si>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</si>
  <si>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</si>
  <si>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</si>
  <si>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</si>
  <si>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</si>
  <si>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</si>
  <si>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</si>
  <si>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</si>
  <si>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</si>
  <si>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</si>
  <si>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</si>
  <si>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</si>
  <si>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</si>
  <si>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</si>
  <si>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</si>
  <si>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</si>
  <si>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</si>
  <si>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</si>
  <si>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</si>
  <si>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</si>
  <si>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</si>
  <si>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</si>
  <si>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</si>
  <si>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</si>
  <si>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</si>
  <si>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</si>
  <si>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</si>
  <si>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</si>
  <si>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</si>
  <si>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</si>
  <si>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</si>
  <si>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</si>
  <si>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</si>
  <si>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</si>
  <si>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</si>
  <si>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</si>
  <si>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</si>
  <si>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</si>
  <si>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</si>
  <si>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</si>
  <si>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</si>
  <si>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</si>
  <si>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</si>
  <si>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</si>
  <si>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</si>
  <si>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</si>
  <si>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</si>
  <si>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</si>
  <si>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</si>
  <si>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</si>
  <si>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</si>
  <si>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</si>
  <si>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</si>
  <si>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</si>
  <si>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</si>
  <si>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</si>
  <si>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</si>
  <si>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</si>
  <si>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</si>
  <si>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</si>
  <si>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</si>
  <si>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</si>
  <si>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</si>
  <si>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</si>
  <si>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</si>
  <si>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</si>
  <si>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</si>
  <si>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</si>
  <si>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</si>
  <si>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</si>
  <si>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</si>
  <si>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</si>
  <si>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</si>
  <si>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</si>
  <si>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</si>
  <si>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</si>
  <si>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</si>
  <si>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</si>
  <si>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</si>
  <si>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</si>
  <si>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</si>
  <si>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</si>
  <si>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</si>
  <si>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</si>
  <si>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</si>
  <si>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</si>
  <si>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</si>
  <si>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</si>
  <si>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</si>
  <si>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</si>
  <si>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</si>
  <si>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</si>
  <si>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</si>
  <si>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</si>
  <si>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</si>
  <si>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</si>
  <si>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</si>
  <si>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</si>
  <si>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</si>
  <si>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</si>
  <si>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</si>
  <si>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</si>
  <si>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</si>
  <si>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</si>
  <si>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</si>
  <si>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</si>
  <si>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</si>
  <si>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</si>
  <si>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</si>
  <si>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</si>
  <si>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</si>
  <si>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</si>
  <si>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</si>
  <si>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</si>
  <si>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</si>
  <si>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</si>
  <si>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</si>
  <si>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</si>
  <si>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</si>
  <si>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</si>
  <si>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</si>
  <si>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</si>
  <si>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</si>
  <si>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</si>
  <si>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</si>
  <si>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</si>
  <si>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</si>
  <si>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</si>
  <si>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</si>
  <si>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</si>
  <si>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</si>
  <si>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</si>
  <si>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</si>
  <si>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</si>
  <si>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</si>
  <si>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</si>
  <si>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</si>
  <si>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</si>
  <si>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</si>
  <si>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</si>
  <si>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</si>
  <si>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</si>
  <si>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</si>
  <si>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</si>
  <si>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</si>
  <si>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</si>
  <si>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</si>
  <si>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</si>
  <si>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</si>
  <si>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</si>
  <si>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</si>
  <si>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</si>
  <si>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</si>
  <si>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</si>
  <si>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</si>
  <si>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</si>
  <si>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</si>
  <si>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</si>
  <si>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</si>
  <si>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</si>
  <si>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</si>
  <si>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</si>
  <si>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</si>
  <si>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</si>
  <si>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</si>
  <si>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</si>
  <si>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</si>
  <si>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</si>
  <si>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</si>
  <si>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</si>
  <si>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</si>
  <si>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</si>
  <si>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</si>
  <si>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</si>
  <si>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</si>
  <si>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</si>
  <si>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</si>
  <si>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</si>
  <si>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</si>
  <si>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</si>
  <si>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</si>
  <si>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</si>
  <si>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</si>
  <si>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</si>
  <si>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</si>
  <si>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</si>
  <si>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</si>
  <si>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</si>
  <si>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</si>
  <si>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</si>
  <si>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</si>
  <si>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</si>
  <si>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</si>
  <si>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</si>
  <si>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</si>
  <si>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</si>
  <si>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</si>
  <si>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</si>
  <si>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</si>
  <si>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</si>
  <si>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</si>
  <si>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</si>
  <si>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</si>
  <si>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</si>
  <si>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</si>
  <si>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</si>
  <si>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</si>
  <si>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</si>
  <si>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</si>
  <si>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</si>
  <si>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</si>
  <si>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</si>
  <si>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</si>
  <si>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</si>
  <si>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</si>
  <si>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</si>
  <si>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</si>
  <si>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</si>
  <si>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</si>
  <si>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</si>
  <si>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</si>
  <si>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</si>
  <si>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</si>
  <si>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</si>
  <si>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</si>
  <si>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</si>
  <si>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</si>
  <si>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</si>
  <si>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</si>
  <si>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</si>
  <si>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</si>
  <si>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</si>
  <si>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</si>
  <si>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</si>
  <si>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</si>
  <si>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</si>
  <si>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</si>
  <si>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</si>
  <si>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</si>
  <si>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</si>
  <si>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</si>
  <si>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</si>
  <si>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</si>
  <si>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</si>
  <si>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</si>
  <si>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</si>
  <si>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</si>
  <si>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</si>
  <si>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</si>
  <si>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</si>
  <si>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</si>
  <si>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</si>
  <si>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</si>
  <si>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</si>
  <si>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</si>
  <si>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</si>
  <si>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</si>
  <si>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</si>
  <si>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</si>
  <si>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</si>
  <si>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</si>
  <si>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</si>
  <si>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</si>
  <si>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</si>
  <si>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</si>
  <si>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</si>
  <si>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</si>
  <si>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</si>
  <si>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</si>
  <si>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</si>
  <si>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</si>
  <si>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</si>
  <si>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</si>
  <si>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</si>
  <si>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</si>
  <si>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</si>
  <si>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</si>
  <si>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</si>
  <si>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</si>
  <si>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</si>
  <si>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</si>
  <si>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</si>
  <si>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</si>
  <si>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</si>
  <si>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</si>
  <si>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</si>
  <si>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</si>
  <si>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</si>
  <si>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</si>
  <si>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</si>
  <si>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</si>
  <si>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</si>
  <si>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</si>
  <si>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</si>
  <si>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</si>
  <si>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</si>
  <si>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</si>
  <si>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</si>
  <si>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</si>
  <si>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</si>
  <si>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</si>
  <si>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</si>
  <si>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</si>
  <si>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</si>
  <si>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</si>
  <si>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</si>
  <si>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</si>
  <si>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</si>
  <si>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</si>
  <si>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</si>
  <si>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</si>
  <si>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</si>
  <si>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</si>
  <si>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</si>
  <si>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</si>
  <si>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</si>
  <si>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</si>
  <si>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</si>
  <si>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</si>
  <si>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</si>
  <si>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</si>
  <si>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</si>
  <si>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</si>
  <si>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</si>
  <si>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</si>
  <si>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</si>
  <si>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</si>
  <si>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</si>
  <si>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</si>
  <si>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</si>
  <si>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</si>
  <si>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</si>
  <si>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</si>
  <si>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</si>
  <si>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</si>
  <si>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</si>
  <si>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</si>
  <si>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</si>
  <si>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</si>
  <si>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</si>
  <si>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</si>
  <si>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</si>
  <si>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</si>
  <si>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</si>
  <si>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</si>
  <si>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</si>
  <si>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</si>
  <si>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</si>
  <si>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</si>
  <si>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</si>
  <si>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</si>
  <si>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</si>
  <si>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</si>
  <si>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</si>
  <si>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</si>
  <si>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</si>
  <si>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</si>
  <si>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</si>
  <si>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</si>
  <si>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</si>
  <si>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</si>
  <si>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</si>
  <si>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</si>
  <si>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</si>
  <si>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</si>
  <si>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</si>
  <si>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</si>
  <si>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</si>
  <si>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</si>
  <si>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</si>
  <si>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</si>
  <si>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</si>
  <si>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</si>
  <si>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</si>
  <si>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</si>
  <si>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</si>
  <si>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</si>
  <si>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</si>
  <si>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</si>
  <si>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</si>
  <si>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</si>
  <si>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</si>
  <si>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</si>
  <si>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</si>
  <si>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</si>
  <si>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</si>
  <si>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</si>
  <si>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</si>
  <si>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</si>
  <si>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</si>
  <si>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</si>
  <si>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</si>
  <si>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</si>
  <si>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</si>
  <si>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</si>
  <si>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</si>
  <si>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</si>
  <si>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</si>
  <si>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</si>
  <si>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</si>
  <si>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</si>
  <si>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</si>
  <si>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</si>
  <si>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</si>
  <si>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</si>
  <si>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</si>
  <si>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</si>
  <si>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</si>
  <si>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</si>
  <si>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</si>
  <si>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</si>
  <si>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</si>
  <si>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</si>
  <si>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</si>
  <si>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</si>
  <si>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</si>
  <si>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</si>
  <si>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</si>
  <si>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</si>
  <si>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</si>
  <si>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</si>
  <si>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</si>
  <si>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</si>
  <si>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</si>
  <si>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</si>
  <si>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</si>
  <si>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</si>
  <si>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</si>
  <si>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</si>
  <si>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</si>
  <si>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</si>
  <si>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</si>
  <si>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</si>
  <si>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</si>
  <si>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</si>
  <si>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</si>
  <si>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</si>
  <si>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</si>
  <si>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</si>
  <si>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</si>
  <si>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</si>
  <si>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</si>
  <si>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</si>
  <si>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</si>
  <si>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</si>
  <si>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</si>
  <si>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</si>
  <si>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</si>
  <si>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</si>
  <si>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</si>
  <si>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</si>
  <si>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</si>
  <si>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</si>
  <si>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</si>
  <si>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</si>
  <si>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</si>
  <si>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</si>
  <si>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</si>
  <si>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</si>
  <si>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</si>
  <si>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</si>
  <si>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</si>
  <si>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</si>
  <si>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</si>
  <si>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</si>
  <si>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</si>
  <si>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</si>
  <si>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</si>
  <si>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</si>
  <si>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</si>
  <si>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</si>
  <si>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</si>
  <si>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</si>
  <si>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</si>
  <si>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</si>
  <si>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</si>
  <si>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</si>
  <si>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</si>
  <si>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</si>
  <si>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</si>
  <si>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</si>
  <si>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</si>
  <si>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</si>
  <si>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</si>
  <si>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</si>
  <si>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</si>
  <si>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</si>
  <si>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</si>
  <si>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</si>
  <si>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</si>
  <si>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</si>
  <si>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</si>
  <si>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</si>
  <si>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</si>
  <si>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</si>
  <si>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</si>
  <si>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</si>
  <si>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</si>
  <si>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</si>
  <si>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</si>
  <si>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</si>
  <si>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</si>
  <si>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</si>
  <si>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</si>
  <si>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</si>
  <si>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</si>
  <si>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</si>
  <si>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</si>
  <si>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</si>
  <si>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</si>
  <si>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</si>
  <si>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</si>
  <si>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</si>
  <si>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</si>
  <si>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</si>
  <si>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</si>
  <si>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</si>
  <si>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</si>
  <si>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</si>
  <si>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</si>
  <si>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</si>
  <si>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</si>
  <si>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</si>
  <si>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</si>
  <si>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</si>
  <si>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</si>
  <si>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</si>
  <si>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</si>
  <si>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</si>
  <si>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</si>
  <si>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</si>
  <si>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</si>
  <si>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</si>
  <si>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</si>
  <si>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</si>
  <si>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</si>
  <si>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</si>
  <si>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</si>
  <si>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</si>
  <si>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</si>
  <si>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</si>
  <si>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</si>
  <si>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</si>
  <si>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</si>
  <si>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</si>
  <si>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</si>
  <si>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</si>
  <si>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</si>
  <si>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</si>
  <si>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</si>
  <si>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</si>
  <si>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</si>
  <si>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</si>
  <si>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</si>
  <si>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</si>
  <si>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</si>
  <si>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</si>
  <si>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</si>
  <si>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</si>
  <si>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</si>
  <si>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</si>
  <si>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</si>
  <si>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</si>
  <si>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</si>
  <si>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</si>
  <si>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</si>
  <si>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</si>
  <si>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</si>
  <si>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</si>
  <si>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</si>
  <si>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</si>
  <si>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</si>
  <si>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</si>
  <si>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</si>
  <si>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</si>
  <si>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</si>
  <si>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</si>
  <si>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</si>
  <si>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</si>
  <si>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</si>
  <si>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</si>
  <si>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</si>
  <si>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</si>
  <si>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</si>
  <si>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</si>
  <si>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</si>
  <si>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</si>
  <si>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</si>
  <si>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</si>
  <si>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</si>
  <si>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</si>
  <si>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</si>
  <si>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</si>
  <si>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</si>
  <si>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</si>
  <si>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</si>
  <si>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</si>
  <si>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</si>
  <si>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</si>
  <si>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</si>
  <si>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</si>
  <si>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</si>
  <si>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</si>
  <si>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</si>
  <si>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</si>
  <si>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</si>
  <si>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</si>
  <si>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</si>
  <si>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</si>
  <si>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</si>
  <si>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</si>
  <si>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</si>
  <si>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</si>
  <si>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</si>
  <si>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</si>
  <si>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</si>
  <si>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</si>
  <si>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</si>
  <si>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</si>
  <si>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</si>
  <si>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</si>
  <si>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</si>
  <si>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</si>
  <si>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</si>
  <si>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</si>
  <si>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</si>
  <si>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</si>
  <si>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</si>
  <si>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</si>
  <si>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</si>
  <si>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</si>
  <si>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</si>
  <si>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</si>
  <si>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</si>
  <si>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</si>
  <si>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</si>
  <si>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</si>
  <si>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</si>
  <si>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</si>
  <si>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</si>
  <si>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</si>
  <si>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</si>
  <si>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</si>
  <si>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</si>
  <si>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</si>
  <si>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</si>
  <si>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</si>
  <si>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</si>
  <si>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</si>
  <si>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</si>
  <si>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</si>
  <si>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</si>
  <si>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</si>
  <si>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</si>
  <si>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</si>
  <si>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</si>
  <si>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</si>
  <si>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</si>
  <si>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</si>
  <si>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</si>
  <si>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</si>
  <si>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</si>
  <si>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</si>
  <si>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</si>
  <si>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</si>
  <si>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</si>
  <si>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</si>
  <si>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</si>
  <si>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</si>
  <si>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</si>
  <si>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</si>
  <si>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</si>
  <si>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</si>
  <si>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</si>
  <si>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</si>
  <si>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</si>
  <si>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</si>
  <si>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</si>
  <si>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</si>
  <si>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</si>
  <si>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</si>
  <si>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</si>
  <si>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</si>
  <si>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</si>
  <si>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</si>
  <si>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</si>
  <si>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</si>
  <si>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</si>
  <si>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</si>
  <si>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</si>
  <si>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</si>
  <si>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</si>
  <si>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</si>
  <si>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</si>
  <si>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</si>
  <si>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</si>
  <si>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</si>
  <si>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</si>
  <si>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</si>
  <si>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</si>
  <si>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</si>
  <si>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</si>
  <si>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</si>
  <si>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</si>
  <si>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</si>
  <si>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</si>
  <si>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</si>
  <si>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</si>
  <si>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</si>
  <si>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</si>
  <si>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</si>
  <si>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</si>
  <si>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</si>
  <si>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</si>
  <si>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</si>
  <si>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</si>
  <si>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</si>
  <si>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</si>
  <si>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</si>
  <si>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</si>
  <si>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</si>
  <si>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</si>
  <si>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</si>
  <si>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</si>
  <si>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</si>
  <si>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</si>
  <si>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</si>
  <si>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</si>
  <si>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</si>
  <si>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</si>
  <si>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</si>
  <si>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</si>
  <si>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</si>
  <si>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</si>
  <si>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</si>
  <si>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</si>
  <si>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</si>
  <si>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</si>
  <si>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</si>
  <si>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</si>
  <si>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</si>
  <si>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</si>
  <si>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</si>
  <si>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</si>
  <si>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</si>
  <si>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</si>
  <si>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</si>
  <si>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</si>
  <si>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</si>
  <si>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</si>
  <si>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</si>
  <si>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</si>
  <si>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</si>
  <si>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</si>
  <si>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</si>
  <si>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</si>
  <si>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</si>
  <si>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</si>
  <si>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</si>
  <si>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</si>
  <si>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</si>
  <si>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</si>
  <si>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</si>
  <si>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</si>
  <si>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</si>
  <si>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</si>
  <si>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</si>
  <si>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</si>
  <si>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</si>
  <si>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</si>
  <si>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</si>
  <si>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</si>
  <si>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</si>
  <si>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</si>
  <si>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</si>
  <si>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</si>
  <si>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</si>
  <si>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</si>
  <si>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</si>
  <si>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</si>
  <si>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</si>
  <si>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</si>
  <si>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</si>
  <si>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</si>
  <si>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</si>
  <si>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</si>
  <si>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</si>
  <si>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</si>
  <si>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</si>
  <si>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</si>
  <si>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</si>
  <si>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</si>
  <si>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</si>
  <si>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</si>
  <si>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</si>
  <si>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</si>
  <si>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</si>
  <si>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</si>
  <si>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</si>
  <si>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</si>
  <si>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</si>
  <si>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</si>
  <si>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</si>
  <si>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</si>
  <si>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</si>
  <si>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</si>
  <si>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</si>
  <si>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</si>
  <si>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</si>
  <si>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</si>
  <si>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</si>
  <si>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</si>
  <si>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</si>
  <si>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</si>
  <si>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</si>
  <si>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</si>
  <si>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</si>
  <si>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</si>
  <si>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</si>
  <si>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</si>
  <si>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</si>
  <si>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</si>
  <si>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</si>
  <si>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</si>
  <si>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</si>
  <si>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</si>
  <si>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</si>
  <si>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</si>
  <si>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</si>
  <si>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</si>
  <si>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</si>
  <si>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</si>
  <si>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</si>
  <si>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</si>
  <si>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</si>
  <si>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</si>
  <si>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</si>
  <si>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</si>
  <si>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</si>
  <si>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</si>
  <si>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</si>
  <si>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</si>
  <si>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</si>
  <si>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</si>
  <si>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</si>
  <si>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</si>
  <si>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</si>
  <si>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</si>
  <si>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</si>
  <si>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</si>
  <si>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</si>
  <si>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</si>
  <si>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</si>
  <si>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</si>
  <si>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</si>
  <si>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</si>
  <si>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</si>
  <si>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</si>
  <si>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</si>
  <si>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</si>
  <si>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</si>
  <si>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</si>
  <si>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</si>
  <si>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</si>
  <si>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</si>
  <si>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</si>
  <si>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</si>
  <si>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</si>
  <si>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</si>
  <si>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</si>
  <si>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</si>
  <si>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</si>
  <si>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</si>
  <si>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</si>
  <si>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</si>
  <si>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</si>
  <si>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</si>
  <si>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</si>
  <si>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</si>
  <si>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</si>
  <si>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</si>
  <si>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</si>
  <si>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</si>
  <si>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</si>
  <si>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</si>
  <si>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</si>
  <si>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</si>
  <si>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</si>
  <si>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</si>
  <si>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</si>
  <si>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</si>
  <si>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</si>
  <si>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</si>
  <si>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</si>
  <si>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</si>
  <si>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</si>
  <si>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</si>
  <si>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</si>
  <si>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</si>
  <si>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</si>
  <si>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</si>
  <si>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</si>
  <si>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</si>
  <si>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</si>
  <si>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</si>
  <si>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</si>
  <si>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</si>
  <si>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</si>
  <si>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</si>
  <si>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</si>
  <si>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</si>
  <si>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</si>
  <si>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</si>
  <si>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</si>
  <si>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</si>
  <si>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</si>
  <si>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</si>
  <si>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</si>
  <si>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</si>
  <si>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</si>
  <si>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</si>
  <si>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</si>
  <si>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</si>
  <si>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</si>
  <si>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</si>
  <si>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</si>
  <si>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</si>
  <si>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</si>
  <si>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</si>
  <si>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</si>
  <si>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</si>
  <si>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</si>
  <si>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</si>
  <si>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</si>
  <si>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</si>
  <si>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</si>
  <si>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</si>
  <si>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</si>
  <si>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</si>
  <si>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</si>
  <si>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</si>
  <si>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</si>
  <si>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</si>
  <si>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</si>
  <si>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</si>
  <si>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</si>
  <si>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</si>
  <si>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</si>
  <si>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</si>
  <si>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</si>
  <si>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</si>
  <si>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</si>
  <si>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</si>
  <si>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</si>
  <si>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</si>
  <si>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</si>
  <si>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</si>
  <si>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</si>
  <si>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</si>
  <si>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</si>
  <si>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</si>
  <si>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</si>
  <si>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</si>
  <si>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</si>
  <si>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</si>
  <si>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</si>
  <si>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</si>
  <si>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</si>
  <si>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</si>
  <si>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</si>
  <si>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</si>
  <si>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</si>
  <si>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</si>
  <si>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</si>
  <si>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</si>
  <si>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</si>
  <si>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</si>
  <si>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</si>
  <si>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</si>
  <si>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</si>
  <si>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</si>
  <si>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</si>
  <si>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</si>
  <si>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</si>
  <si>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</si>
  <si>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</si>
  <si>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</si>
  <si>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</si>
  <si>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</si>
  <si>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</si>
  <si>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</si>
  <si>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</si>
  <si>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</si>
  <si>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</si>
  <si>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</si>
  <si>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</si>
  <si>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</si>
  <si>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</si>
  <si>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</si>
  <si>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</si>
  <si>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</si>
  <si>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</si>
  <si>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</si>
  <si>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</si>
  <si>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</si>
  <si>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</si>
  <si>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</si>
  <si>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</si>
  <si>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</si>
  <si>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</si>
  <si>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</si>
  <si>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</si>
  <si>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</si>
  <si>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</si>
  <si>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</si>
  <si>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</si>
  <si>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</si>
  <si>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</si>
  <si>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</si>
  <si>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</si>
  <si>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</si>
  <si>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</si>
  <si>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</si>
  <si>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</si>
  <si>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</si>
  <si>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</si>
  <si>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</si>
  <si>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</si>
  <si>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</si>
  <si>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</si>
  <si>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</si>
  <si>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</si>
  <si>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</si>
  <si>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</si>
  <si>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</si>
  <si>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</si>
  <si>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</si>
  <si>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</si>
  <si>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</si>
  <si>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</si>
  <si>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</si>
  <si>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</si>
  <si>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</si>
  <si>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</si>
  <si>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</si>
  <si>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</si>
  <si>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</si>
  <si>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</si>
  <si>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</si>
  <si>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</si>
  <si>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</si>
  <si>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</si>
  <si>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</si>
  <si>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</si>
  <si>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</si>
  <si>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</si>
  <si>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</si>
  <si>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</si>
  <si>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</si>
  <si>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</si>
  <si>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</si>
  <si>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</si>
  <si>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</si>
  <si>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</si>
  <si>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</si>
  <si>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</si>
  <si>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</si>
  <si>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</si>
  <si>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</si>
  <si>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</si>
  <si>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</si>
  <si>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</si>
  <si>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</si>
  <si>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</si>
  <si>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</si>
  <si>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</si>
  <si>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</si>
  <si>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</si>
  <si>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</si>
  <si>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</si>
  <si>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</si>
  <si>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</si>
  <si>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</si>
  <si>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</si>
  <si>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</si>
  <si>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</si>
  <si>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</si>
  <si>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</si>
  <si>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</si>
  <si>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</si>
  <si>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</si>
  <si>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</si>
  <si>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</si>
  <si>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</si>
  <si>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</si>
  <si>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</si>
  <si>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Objekt</t>
  </si>
  <si>
    <t>Kód</t>
  </si>
  <si>
    <t>0</t>
  </si>
  <si>
    <t>000-001VD</t>
  </si>
  <si>
    <t>000-002VD</t>
  </si>
  <si>
    <t>000-003VD</t>
  </si>
  <si>
    <t>000-004VD</t>
  </si>
  <si>
    <t>000-047VD</t>
  </si>
  <si>
    <t>000-048VD</t>
  </si>
  <si>
    <t>000-049VD</t>
  </si>
  <si>
    <t>000-050VD</t>
  </si>
  <si>
    <t>121101100R00</t>
  </si>
  <si>
    <t>122202202R00</t>
  </si>
  <si>
    <t>122202209R00</t>
  </si>
  <si>
    <t>131201102R00</t>
  </si>
  <si>
    <t>131201109R00</t>
  </si>
  <si>
    <t>131301102R00</t>
  </si>
  <si>
    <t>131301109R00</t>
  </si>
  <si>
    <t>131401102R00</t>
  </si>
  <si>
    <t>132201102R00</t>
  </si>
  <si>
    <t>132201109R00</t>
  </si>
  <si>
    <t>132301101R00</t>
  </si>
  <si>
    <t>132301202R00</t>
  </si>
  <si>
    <t>132301209R00</t>
  </si>
  <si>
    <t>133301101R00</t>
  </si>
  <si>
    <t>133301109R00</t>
  </si>
  <si>
    <t>162701105R00</t>
  </si>
  <si>
    <t>162702199R00</t>
  </si>
  <si>
    <t>171201201R00</t>
  </si>
  <si>
    <t>174100010RA0</t>
  </si>
  <si>
    <t>175100020RAD</t>
  </si>
  <si>
    <t>175200010RAB</t>
  </si>
  <si>
    <t>175203102R00</t>
  </si>
  <si>
    <t>180400011RA0</t>
  </si>
  <si>
    <t>181006112R00</t>
  </si>
  <si>
    <t>181101102R00</t>
  </si>
  <si>
    <t>181101111R00</t>
  </si>
  <si>
    <t>181300010RA0</t>
  </si>
  <si>
    <t>460200153RT1</t>
  </si>
  <si>
    <t>460570153R00</t>
  </si>
  <si>
    <t>998011003R00</t>
  </si>
  <si>
    <t>212810010RAD</t>
  </si>
  <si>
    <t>229940020RA0</t>
  </si>
  <si>
    <t>273321117R00</t>
  </si>
  <si>
    <t>273351215RT1</t>
  </si>
  <si>
    <t>273351216R00</t>
  </si>
  <si>
    <t>273361921RT9</t>
  </si>
  <si>
    <t>274313621R00</t>
  </si>
  <si>
    <t>274321321R00</t>
  </si>
  <si>
    <t>274351215R00</t>
  </si>
  <si>
    <t>274351216R00</t>
  </si>
  <si>
    <t>274353131R00</t>
  </si>
  <si>
    <t>274361821R00</t>
  </si>
  <si>
    <t>275321117R00</t>
  </si>
  <si>
    <t>275351215R00</t>
  </si>
  <si>
    <t>275351216R00</t>
  </si>
  <si>
    <t>275361214R00</t>
  </si>
  <si>
    <t>310239411RT1</t>
  </si>
  <si>
    <t>311112030RT3</t>
  </si>
  <si>
    <t>311230050RAB</t>
  </si>
  <si>
    <t>311230052RAB</t>
  </si>
  <si>
    <t>311230058RAB</t>
  </si>
  <si>
    <t>311261115R00</t>
  </si>
  <si>
    <t>311320040RAB</t>
  </si>
  <si>
    <t>311320042RAB</t>
  </si>
  <si>
    <t>311321411R00</t>
  </si>
  <si>
    <t>311351105R00</t>
  </si>
  <si>
    <t>311351106R00</t>
  </si>
  <si>
    <t>311361821R00</t>
  </si>
  <si>
    <t>317168111R00</t>
  </si>
  <si>
    <t>317168112R00</t>
  </si>
  <si>
    <t>317168130R00</t>
  </si>
  <si>
    <t>317168131R00</t>
  </si>
  <si>
    <t>317168132R00</t>
  </si>
  <si>
    <t>317168133R00</t>
  </si>
  <si>
    <t>317168134R00</t>
  </si>
  <si>
    <t>317168135R00</t>
  </si>
  <si>
    <t>317168136R00</t>
  </si>
  <si>
    <t>317168137R00</t>
  </si>
  <si>
    <t>317321411R00</t>
  </si>
  <si>
    <t>317351107R00</t>
  </si>
  <si>
    <t>317351108R00</t>
  </si>
  <si>
    <t>317361821R00</t>
  </si>
  <si>
    <t>317941123RT2</t>
  </si>
  <si>
    <t>317941123RT3</t>
  </si>
  <si>
    <t>317941123RT5</t>
  </si>
  <si>
    <t>317941123RT6</t>
  </si>
  <si>
    <t>317941125RT2</t>
  </si>
  <si>
    <t>317941125RU3</t>
  </si>
  <si>
    <t>59212730</t>
  </si>
  <si>
    <t>330321410R00</t>
  </si>
  <si>
    <t>330351121R00</t>
  </si>
  <si>
    <t>330351129R00</t>
  </si>
  <si>
    <t>330361122R00</t>
  </si>
  <si>
    <t>342240012RAA</t>
  </si>
  <si>
    <t>342241111R00</t>
  </si>
  <si>
    <t>342248114R00</t>
  </si>
  <si>
    <t>342264051RX1</t>
  </si>
  <si>
    <t>342948112R00</t>
  </si>
  <si>
    <t>345230020RAB</t>
  </si>
  <si>
    <t>346244481R00</t>
  </si>
  <si>
    <t>13380615</t>
  </si>
  <si>
    <t>13487185</t>
  </si>
  <si>
    <t>411160043RAA</t>
  </si>
  <si>
    <t>411320042RAB</t>
  </si>
  <si>
    <t>411321414R00</t>
  </si>
  <si>
    <t>411351101RT4</t>
  </si>
  <si>
    <t>411351102R00</t>
  </si>
  <si>
    <t>411354175R00</t>
  </si>
  <si>
    <t>411354176R00</t>
  </si>
  <si>
    <t>411354257R00</t>
  </si>
  <si>
    <t>411361521R00</t>
  </si>
  <si>
    <t>413321414R00</t>
  </si>
  <si>
    <t>413351107R00</t>
  </si>
  <si>
    <t>413351108R00</t>
  </si>
  <si>
    <t>413351215R00</t>
  </si>
  <si>
    <t>413351216R00</t>
  </si>
  <si>
    <t>413361821R00</t>
  </si>
  <si>
    <t>413941121R00</t>
  </si>
  <si>
    <t>413941123RT5</t>
  </si>
  <si>
    <t>413941125R00</t>
  </si>
  <si>
    <t>416021128R00</t>
  </si>
  <si>
    <t>417321414R00</t>
  </si>
  <si>
    <t>417351115R00</t>
  </si>
  <si>
    <t>417351116R00</t>
  </si>
  <si>
    <t>417361821R00</t>
  </si>
  <si>
    <t>430320040RAB</t>
  </si>
  <si>
    <t>434312241R00</t>
  </si>
  <si>
    <t>434351141R00</t>
  </si>
  <si>
    <t>434351142R00</t>
  </si>
  <si>
    <t>564251111R00</t>
  </si>
  <si>
    <t>564751111R00</t>
  </si>
  <si>
    <t>564761111R00</t>
  </si>
  <si>
    <t>564791111R00</t>
  </si>
  <si>
    <t>564801111R00</t>
  </si>
  <si>
    <t>564801112R00</t>
  </si>
  <si>
    <t>564851111R00</t>
  </si>
  <si>
    <t>565171111RT2</t>
  </si>
  <si>
    <t>566903111R00</t>
  </si>
  <si>
    <t>566904111R00</t>
  </si>
  <si>
    <t>998225111R00</t>
  </si>
  <si>
    <t>573211111R00</t>
  </si>
  <si>
    <t>577111113RT3</t>
  </si>
  <si>
    <t>577112113RT3</t>
  </si>
  <si>
    <t>577115116RT3</t>
  </si>
  <si>
    <t>592272231002</t>
  </si>
  <si>
    <t>592272231030</t>
  </si>
  <si>
    <t>59245266</t>
  </si>
  <si>
    <t>59245267</t>
  </si>
  <si>
    <t>59245308</t>
  </si>
  <si>
    <t>596215021R00</t>
  </si>
  <si>
    <t>596215040R00</t>
  </si>
  <si>
    <t>597101113RT1</t>
  </si>
  <si>
    <t>998223011R00</t>
  </si>
  <si>
    <t>610991111R00</t>
  </si>
  <si>
    <t>611420016RAA</t>
  </si>
  <si>
    <t>612402151R00</t>
  </si>
  <si>
    <t>612420014RAA</t>
  </si>
  <si>
    <t>612420016RAA</t>
  </si>
  <si>
    <t>612425931RT2</t>
  </si>
  <si>
    <t>620991121R00</t>
  </si>
  <si>
    <t>622300042RAB</t>
  </si>
  <si>
    <t>622300042RAC</t>
  </si>
  <si>
    <t>622300042RAF</t>
  </si>
  <si>
    <t>622432112R00</t>
  </si>
  <si>
    <t>631310034RA0</t>
  </si>
  <si>
    <t>631310131RA0</t>
  </si>
  <si>
    <t>631312621R00</t>
  </si>
  <si>
    <t>631315621R00</t>
  </si>
  <si>
    <t>631316211RT1</t>
  </si>
  <si>
    <t>631361921RT4</t>
  </si>
  <si>
    <t>631361921RT5</t>
  </si>
  <si>
    <t>631571002R00</t>
  </si>
  <si>
    <t>631571004R00</t>
  </si>
  <si>
    <t>632416250R00</t>
  </si>
  <si>
    <t>642940010RAA</t>
  </si>
  <si>
    <t>642940012RAA</t>
  </si>
  <si>
    <t>642940012RAB</t>
  </si>
  <si>
    <t>642940014RAA</t>
  </si>
  <si>
    <t>642940014RAB</t>
  </si>
  <si>
    <t>642940016RAA</t>
  </si>
  <si>
    <t>642940016RAB</t>
  </si>
  <si>
    <t>642940022RA0</t>
  </si>
  <si>
    <t>711471051RZ5</t>
  </si>
  <si>
    <t>711472051RZ5</t>
  </si>
  <si>
    <t>711491171RZ1</t>
  </si>
  <si>
    <t>711491172RZ1</t>
  </si>
  <si>
    <t>711491271RZ1</t>
  </si>
  <si>
    <t>711491272RZ1</t>
  </si>
  <si>
    <t>711774202R00</t>
  </si>
  <si>
    <t>998711103R00</t>
  </si>
  <si>
    <t>712370010RAC</t>
  </si>
  <si>
    <t>998712103R00</t>
  </si>
  <si>
    <t>28375766.A</t>
  </si>
  <si>
    <t>28375767</t>
  </si>
  <si>
    <t>28376315</t>
  </si>
  <si>
    <t>28376322.A</t>
  </si>
  <si>
    <t>63151504</t>
  </si>
  <si>
    <t>713100090RA0</t>
  </si>
  <si>
    <t>713110010RAA</t>
  </si>
  <si>
    <t>713110010RAD</t>
  </si>
  <si>
    <t>713110030RA0</t>
  </si>
  <si>
    <t>713110030RAC</t>
  </si>
  <si>
    <t>713110030RAD</t>
  </si>
  <si>
    <t>713111111RT2</t>
  </si>
  <si>
    <t>713111211RK2</t>
  </si>
  <si>
    <t>713111221RK6</t>
  </si>
  <si>
    <t>713130090RAA</t>
  </si>
  <si>
    <t>713191122R00</t>
  </si>
  <si>
    <t>713191124R00</t>
  </si>
  <si>
    <t>998713103R00</t>
  </si>
  <si>
    <t>721153205R00</t>
  </si>
  <si>
    <t>721153207R00</t>
  </si>
  <si>
    <t>721176114R00</t>
  </si>
  <si>
    <t>721176115R00</t>
  </si>
  <si>
    <t>721194105R00</t>
  </si>
  <si>
    <t>721194106R00</t>
  </si>
  <si>
    <t>721194109R00</t>
  </si>
  <si>
    <t>721223420RT1</t>
  </si>
  <si>
    <t>721223450RT2</t>
  </si>
  <si>
    <t>721242110RT1</t>
  </si>
  <si>
    <t>721273150RT1</t>
  </si>
  <si>
    <t>721273200RT3</t>
  </si>
  <si>
    <t>721290111R00</t>
  </si>
  <si>
    <t>721290112R00</t>
  </si>
  <si>
    <t>998721103R00</t>
  </si>
  <si>
    <t>55113523.A</t>
  </si>
  <si>
    <t>55113525.A</t>
  </si>
  <si>
    <t>55113526.A</t>
  </si>
  <si>
    <t>55113527.A</t>
  </si>
  <si>
    <t>55113528.A</t>
  </si>
  <si>
    <t>55113529.A</t>
  </si>
  <si>
    <t>551135724</t>
  </si>
  <si>
    <t>551135726</t>
  </si>
  <si>
    <t>5511361550</t>
  </si>
  <si>
    <t>5512010020</t>
  </si>
  <si>
    <t>722-011VD</t>
  </si>
  <si>
    <t>722-012VD</t>
  </si>
  <si>
    <t>722-013VD</t>
  </si>
  <si>
    <t>722100002RA0</t>
  </si>
  <si>
    <t>722100004RAB</t>
  </si>
  <si>
    <t>722100005RAB</t>
  </si>
  <si>
    <t>722100006RAB</t>
  </si>
  <si>
    <t>722171214R00</t>
  </si>
  <si>
    <t>722171216R00</t>
  </si>
  <si>
    <t>722176112R00</t>
  </si>
  <si>
    <t>722176113R00</t>
  </si>
  <si>
    <t>722176114R00</t>
  </si>
  <si>
    <t>722176115R00</t>
  </si>
  <si>
    <t>722176116R00</t>
  </si>
  <si>
    <t>722176117R00</t>
  </si>
  <si>
    <t>722181211RT7</t>
  </si>
  <si>
    <t>722181211RT8</t>
  </si>
  <si>
    <t>722181211RU1</t>
  </si>
  <si>
    <t>722181211RU4</t>
  </si>
  <si>
    <t>722181212RU7</t>
  </si>
  <si>
    <t>722181212RU9</t>
  </si>
  <si>
    <t>722190401R00</t>
  </si>
  <si>
    <t>722190403R00</t>
  </si>
  <si>
    <t>722220111R00</t>
  </si>
  <si>
    <t>722220122R00</t>
  </si>
  <si>
    <t>722222182R00</t>
  </si>
  <si>
    <t>722222183R00</t>
  </si>
  <si>
    <t>722229101R00</t>
  </si>
  <si>
    <t>722229102R00</t>
  </si>
  <si>
    <t>722229103R00</t>
  </si>
  <si>
    <t>722229104R00</t>
  </si>
  <si>
    <t>722229105R00</t>
  </si>
  <si>
    <t>722229106R00</t>
  </si>
  <si>
    <t>722254126RT2</t>
  </si>
  <si>
    <t>722290226R00</t>
  </si>
  <si>
    <t>722290234R00</t>
  </si>
  <si>
    <t>732421311RM1</t>
  </si>
  <si>
    <t>998722103R00</t>
  </si>
  <si>
    <t>210800526RT1</t>
  </si>
  <si>
    <t>230120043R00</t>
  </si>
  <si>
    <t>230330077R00</t>
  </si>
  <si>
    <t>28613045.M</t>
  </si>
  <si>
    <t>38832723</t>
  </si>
  <si>
    <t>38841246</t>
  </si>
  <si>
    <t>460270024RT1</t>
  </si>
  <si>
    <t>722171215R00</t>
  </si>
  <si>
    <t>722259109R00</t>
  </si>
  <si>
    <t>723-002VD</t>
  </si>
  <si>
    <t>723-003VD</t>
  </si>
  <si>
    <t>723-004VD</t>
  </si>
  <si>
    <t>723110203R00</t>
  </si>
  <si>
    <t>723110205R00</t>
  </si>
  <si>
    <t>723160207R00</t>
  </si>
  <si>
    <t>723160337R00</t>
  </si>
  <si>
    <t>723190203R00</t>
  </si>
  <si>
    <t>723190907R00</t>
  </si>
  <si>
    <t>723190909R00</t>
  </si>
  <si>
    <t>723190913R00</t>
  </si>
  <si>
    <t>723219101R00</t>
  </si>
  <si>
    <t>723231141R00</t>
  </si>
  <si>
    <t>723234221RM8</t>
  </si>
  <si>
    <t>723235114R00</t>
  </si>
  <si>
    <t>723239102R00</t>
  </si>
  <si>
    <t>723239103R00</t>
  </si>
  <si>
    <t>723239104R00</t>
  </si>
  <si>
    <t>998723103R00</t>
  </si>
  <si>
    <t>360480174R00</t>
  </si>
  <si>
    <t>55146002</t>
  </si>
  <si>
    <t>55428090.A</t>
  </si>
  <si>
    <t>64293824</t>
  </si>
  <si>
    <t>725017122R00</t>
  </si>
  <si>
    <t>725019101R00</t>
  </si>
  <si>
    <t>725100006RA0</t>
  </si>
  <si>
    <t>725122231R00</t>
  </si>
  <si>
    <t>725249102R00</t>
  </si>
  <si>
    <t>725249103R00</t>
  </si>
  <si>
    <t>725291171R00</t>
  </si>
  <si>
    <t>725329101R00</t>
  </si>
  <si>
    <t>725823121RT0</t>
  </si>
  <si>
    <t>725825111R00</t>
  </si>
  <si>
    <t>725825114RT0</t>
  </si>
  <si>
    <t>725845111RT2</t>
  </si>
  <si>
    <t>725860167R00</t>
  </si>
  <si>
    <t>725860202R00</t>
  </si>
  <si>
    <t>725860224R00</t>
  </si>
  <si>
    <t>725860253R00</t>
  </si>
  <si>
    <t>998725103R00</t>
  </si>
  <si>
    <t>230180111R00</t>
  </si>
  <si>
    <t>314840006RAB</t>
  </si>
  <si>
    <t>48414003</t>
  </si>
  <si>
    <t>5513808000</t>
  </si>
  <si>
    <t>5513808002</t>
  </si>
  <si>
    <t>725534328R00</t>
  </si>
  <si>
    <t>731-001VD</t>
  </si>
  <si>
    <t>731-002VD</t>
  </si>
  <si>
    <t>731-003VD</t>
  </si>
  <si>
    <t>731249126R00</t>
  </si>
  <si>
    <t>731341130R00</t>
  </si>
  <si>
    <t>732421312RM1</t>
  </si>
  <si>
    <t>732421313R00</t>
  </si>
  <si>
    <t>732421314R00</t>
  </si>
  <si>
    <t>732421323R00</t>
  </si>
  <si>
    <t>732421325R00</t>
  </si>
  <si>
    <t>738129412R00</t>
  </si>
  <si>
    <t>738129413R00</t>
  </si>
  <si>
    <t>738129416R00</t>
  </si>
  <si>
    <t>904      R02</t>
  </si>
  <si>
    <t>905      R01</t>
  </si>
  <si>
    <t>998731102R00</t>
  </si>
  <si>
    <t>230330076R00</t>
  </si>
  <si>
    <t>63154106</t>
  </si>
  <si>
    <t>713311211R00</t>
  </si>
  <si>
    <t>713392611R00</t>
  </si>
  <si>
    <t>722181221RT9</t>
  </si>
  <si>
    <t>722181221RU2</t>
  </si>
  <si>
    <t>722181221RU4</t>
  </si>
  <si>
    <t>722181222RT5</t>
  </si>
  <si>
    <t>722181222RT7</t>
  </si>
  <si>
    <t>722181222RU7</t>
  </si>
  <si>
    <t>722181223RT5</t>
  </si>
  <si>
    <t>722181223RT6</t>
  </si>
  <si>
    <t>722181223RT7</t>
  </si>
  <si>
    <t>722181223RT9</t>
  </si>
  <si>
    <t>722181223RU2</t>
  </si>
  <si>
    <t>722181223RV3</t>
  </si>
  <si>
    <t>733141102R00</t>
  </si>
  <si>
    <t>733161102R00</t>
  </si>
  <si>
    <t>733161104R00</t>
  </si>
  <si>
    <t>733161106R00</t>
  </si>
  <si>
    <t>733161107R00</t>
  </si>
  <si>
    <t>733161108R00</t>
  </si>
  <si>
    <t>733161109R00</t>
  </si>
  <si>
    <t>733161110R00</t>
  </si>
  <si>
    <t>733161111R00</t>
  </si>
  <si>
    <t>733161901R00</t>
  </si>
  <si>
    <t>733161902R00</t>
  </si>
  <si>
    <t>733161903R00</t>
  </si>
  <si>
    <t>733161904R00</t>
  </si>
  <si>
    <t>733161905R00</t>
  </si>
  <si>
    <t>733161906R00</t>
  </si>
  <si>
    <t>733161907R00</t>
  </si>
  <si>
    <t>733161908R00</t>
  </si>
  <si>
    <t>733165002R00</t>
  </si>
  <si>
    <t>733165004R00</t>
  </si>
  <si>
    <t>733190108R00</t>
  </si>
  <si>
    <t>733191113R00</t>
  </si>
  <si>
    <t>998733103R00</t>
  </si>
  <si>
    <t>35433435</t>
  </si>
  <si>
    <t>38832746</t>
  </si>
  <si>
    <t>55101106</t>
  </si>
  <si>
    <t>551100221</t>
  </si>
  <si>
    <t>551100222</t>
  </si>
  <si>
    <t>551100223</t>
  </si>
  <si>
    <t>551100224</t>
  </si>
  <si>
    <t>551100225</t>
  </si>
  <si>
    <t>5511353206</t>
  </si>
  <si>
    <t>55113535.A</t>
  </si>
  <si>
    <t>551135820</t>
  </si>
  <si>
    <t>551135832</t>
  </si>
  <si>
    <t>5511361551</t>
  </si>
  <si>
    <t>5511361552</t>
  </si>
  <si>
    <t>5511361553</t>
  </si>
  <si>
    <t>5511361554</t>
  </si>
  <si>
    <t>551200356</t>
  </si>
  <si>
    <t>5512010021</t>
  </si>
  <si>
    <t>5512010031</t>
  </si>
  <si>
    <t>5512100032</t>
  </si>
  <si>
    <t>5512100033</t>
  </si>
  <si>
    <t>55137360</t>
  </si>
  <si>
    <t>55137392</t>
  </si>
  <si>
    <t>722212440R00</t>
  </si>
  <si>
    <t>724239111R00</t>
  </si>
  <si>
    <t>734209102R00</t>
  </si>
  <si>
    <t>734209102RT2</t>
  </si>
  <si>
    <t>734209103R00</t>
  </si>
  <si>
    <t>734209104R00</t>
  </si>
  <si>
    <t>734209105R00</t>
  </si>
  <si>
    <t>734209116R00</t>
  </si>
  <si>
    <t>734209117R00</t>
  </si>
  <si>
    <t>734209118R00</t>
  </si>
  <si>
    <t>734261215R00</t>
  </si>
  <si>
    <t>734291971R00</t>
  </si>
  <si>
    <t>734291972R00</t>
  </si>
  <si>
    <t>734294104R00</t>
  </si>
  <si>
    <t>734294107R00</t>
  </si>
  <si>
    <t>734421130R00</t>
  </si>
  <si>
    <t>998734103R00</t>
  </si>
  <si>
    <t>735156181R00</t>
  </si>
  <si>
    <t>735156182R00</t>
  </si>
  <si>
    <t>735156584R00</t>
  </si>
  <si>
    <t>735156666R00</t>
  </si>
  <si>
    <t>735156667R00</t>
  </si>
  <si>
    <t>735156668R00</t>
  </si>
  <si>
    <t>735157162R00</t>
  </si>
  <si>
    <t>735157564R00</t>
  </si>
  <si>
    <t>735157568R00</t>
  </si>
  <si>
    <t>735157569R00</t>
  </si>
  <si>
    <t>735157570R00</t>
  </si>
  <si>
    <t>735157582R00</t>
  </si>
  <si>
    <t>735157664R00</t>
  </si>
  <si>
    <t>735157684R00</t>
  </si>
  <si>
    <t>735171108R00</t>
  </si>
  <si>
    <t>735171114R00</t>
  </si>
  <si>
    <t>998735103R00</t>
  </si>
  <si>
    <t>614-001VD</t>
  </si>
  <si>
    <t>762085130R00</t>
  </si>
  <si>
    <t>762085140R00</t>
  </si>
  <si>
    <t>762332110RT2</t>
  </si>
  <si>
    <t>762332110RT3</t>
  </si>
  <si>
    <t>762332110RU3</t>
  </si>
  <si>
    <t>762332120RT3</t>
  </si>
  <si>
    <t>762332130RT2</t>
  </si>
  <si>
    <t>762332140RT3</t>
  </si>
  <si>
    <t>762340032RAA</t>
  </si>
  <si>
    <t>762342204RT2</t>
  </si>
  <si>
    <t>762812240RT3</t>
  </si>
  <si>
    <t>762911125R00</t>
  </si>
  <si>
    <t>763732212R00</t>
  </si>
  <si>
    <t>998762103R00</t>
  </si>
  <si>
    <t>764211402R00</t>
  </si>
  <si>
    <t>764230410RAB</t>
  </si>
  <si>
    <t>764252410RAB</t>
  </si>
  <si>
    <t>764510410RAB</t>
  </si>
  <si>
    <t>764530430R00</t>
  </si>
  <si>
    <t>764551603R00</t>
  </si>
  <si>
    <t>764551604R00</t>
  </si>
  <si>
    <t>764551613R00</t>
  </si>
  <si>
    <t>764551614R00</t>
  </si>
  <si>
    <t>998764103R00</t>
  </si>
  <si>
    <t>765322211R00</t>
  </si>
  <si>
    <t>765322701R00</t>
  </si>
  <si>
    <t>765322705RT1</t>
  </si>
  <si>
    <t>765322708R00</t>
  </si>
  <si>
    <t>765322715R00</t>
  </si>
  <si>
    <t>765901122R00</t>
  </si>
  <si>
    <t>765901221R00</t>
  </si>
  <si>
    <t>998765103R00</t>
  </si>
  <si>
    <t>60515781</t>
  </si>
  <si>
    <t>61143000</t>
  </si>
  <si>
    <t>61143005</t>
  </si>
  <si>
    <t>61143006</t>
  </si>
  <si>
    <t>61143010</t>
  </si>
  <si>
    <t>61143015</t>
  </si>
  <si>
    <t>61143025</t>
  </si>
  <si>
    <t>61143035</t>
  </si>
  <si>
    <t>61143040</t>
  </si>
  <si>
    <t>61143045</t>
  </si>
  <si>
    <t>61143055</t>
  </si>
  <si>
    <t>61143072</t>
  </si>
  <si>
    <t>61143117</t>
  </si>
  <si>
    <t>61143159</t>
  </si>
  <si>
    <t>61143161</t>
  </si>
  <si>
    <t>61143176</t>
  </si>
  <si>
    <t>61143179</t>
  </si>
  <si>
    <t>61143181</t>
  </si>
  <si>
    <t>61143791.A</t>
  </si>
  <si>
    <t>61189997</t>
  </si>
  <si>
    <t>61196004</t>
  </si>
  <si>
    <t>61250020</t>
  </si>
  <si>
    <t>766-006VD</t>
  </si>
  <si>
    <t>766412113R00</t>
  </si>
  <si>
    <t>766420020RAA</t>
  </si>
  <si>
    <t>766427112R00</t>
  </si>
  <si>
    <t>766441111R00</t>
  </si>
  <si>
    <t>766620020RA0</t>
  </si>
  <si>
    <t>766620022RA0</t>
  </si>
  <si>
    <t>766620026RA0</t>
  </si>
  <si>
    <t>766622277R00</t>
  </si>
  <si>
    <t>766624086R00</t>
  </si>
  <si>
    <t>766660016RA0</t>
  </si>
  <si>
    <t>766660024RA0</t>
  </si>
  <si>
    <t>766670020RA0</t>
  </si>
  <si>
    <t>766690010RAB</t>
  </si>
  <si>
    <t>766810010RAE</t>
  </si>
  <si>
    <t>998766103R00</t>
  </si>
  <si>
    <t>13380630</t>
  </si>
  <si>
    <t>13522522</t>
  </si>
  <si>
    <t>14130815</t>
  </si>
  <si>
    <t>14130862</t>
  </si>
  <si>
    <t>14135390</t>
  </si>
  <si>
    <t>14135397</t>
  </si>
  <si>
    <t>14221291</t>
  </si>
  <si>
    <t>553-011VD</t>
  </si>
  <si>
    <t>55340753</t>
  </si>
  <si>
    <t>55340774</t>
  </si>
  <si>
    <t>55344703</t>
  </si>
  <si>
    <t>55344704</t>
  </si>
  <si>
    <t>55344705</t>
  </si>
  <si>
    <t>55395100.A</t>
  </si>
  <si>
    <t>767110219RAA</t>
  </si>
  <si>
    <t>767162230R00</t>
  </si>
  <si>
    <t>767640014RA0</t>
  </si>
  <si>
    <t>767640018RA0</t>
  </si>
  <si>
    <t>767640020RA0</t>
  </si>
  <si>
    <t>767640116RAA</t>
  </si>
  <si>
    <t>767640118RAA</t>
  </si>
  <si>
    <t>767640122RAB</t>
  </si>
  <si>
    <t>767640122RAC</t>
  </si>
  <si>
    <t>767657330R00</t>
  </si>
  <si>
    <t>767990010RAB</t>
  </si>
  <si>
    <t>767990010RAC</t>
  </si>
  <si>
    <t>998767103R00</t>
  </si>
  <si>
    <t>59764203</t>
  </si>
  <si>
    <t>59764240</t>
  </si>
  <si>
    <t>59764241</t>
  </si>
  <si>
    <t>771270010RAC</t>
  </si>
  <si>
    <t>771475014R00</t>
  </si>
  <si>
    <t>771570014RAI</t>
  </si>
  <si>
    <t>998771103R00</t>
  </si>
  <si>
    <t>776520010RAF</t>
  </si>
  <si>
    <t>776520020RAH</t>
  </si>
  <si>
    <t>998776103R00</t>
  </si>
  <si>
    <t>777315187R00</t>
  </si>
  <si>
    <t>777561020R00</t>
  </si>
  <si>
    <t>998777103R00</t>
  </si>
  <si>
    <t>59760104.A</t>
  </si>
  <si>
    <t>597813601</t>
  </si>
  <si>
    <t>781475116R00</t>
  </si>
  <si>
    <t>781491001R00</t>
  </si>
  <si>
    <t>998781103R00</t>
  </si>
  <si>
    <t>58382430</t>
  </si>
  <si>
    <t>782111130R00</t>
  </si>
  <si>
    <t>998782103R00</t>
  </si>
  <si>
    <t>783-001VD</t>
  </si>
  <si>
    <t>783414240R00</t>
  </si>
  <si>
    <t>783414740R00</t>
  </si>
  <si>
    <t>783415150R00</t>
  </si>
  <si>
    <t>783416160R00</t>
  </si>
  <si>
    <t>783620020RAF</t>
  </si>
  <si>
    <t>783780010RA0</t>
  </si>
  <si>
    <t>783842110R00</t>
  </si>
  <si>
    <t>783893113R00</t>
  </si>
  <si>
    <t>784441020R00</t>
  </si>
  <si>
    <t>784442001R00</t>
  </si>
  <si>
    <t>28611140.A</t>
  </si>
  <si>
    <t>28611141.A</t>
  </si>
  <si>
    <t>28611143.A</t>
  </si>
  <si>
    <t>28611144.A</t>
  </si>
  <si>
    <t>28611145.A</t>
  </si>
  <si>
    <t>28611146.A</t>
  </si>
  <si>
    <t>28611148.A</t>
  </si>
  <si>
    <t>28611149.A</t>
  </si>
  <si>
    <t>286508821</t>
  </si>
  <si>
    <t>28651652.A</t>
  </si>
  <si>
    <t>28651653.A</t>
  </si>
  <si>
    <t>28651654.A</t>
  </si>
  <si>
    <t>28651656.A</t>
  </si>
  <si>
    <t>28651657.A</t>
  </si>
  <si>
    <t>28651659.A</t>
  </si>
  <si>
    <t>28651662.A</t>
  </si>
  <si>
    <t>28651664.A</t>
  </si>
  <si>
    <t>28651665.A</t>
  </si>
  <si>
    <t>28651667.A</t>
  </si>
  <si>
    <t>28651690.A</t>
  </si>
  <si>
    <t>28651691.A</t>
  </si>
  <si>
    <t>28651692.A</t>
  </si>
  <si>
    <t>28651693.A</t>
  </si>
  <si>
    <t>28651700.A</t>
  </si>
  <si>
    <t>28651701.A</t>
  </si>
  <si>
    <t>28651703.A</t>
  </si>
  <si>
    <t>28651704.A</t>
  </si>
  <si>
    <t>28651705.A</t>
  </si>
  <si>
    <t>28651707.A</t>
  </si>
  <si>
    <t>28651708.A</t>
  </si>
  <si>
    <t>28651709.A</t>
  </si>
  <si>
    <t>28696084</t>
  </si>
  <si>
    <t>451572111R00</t>
  </si>
  <si>
    <t>871219113R00</t>
  </si>
  <si>
    <t>871251111R00</t>
  </si>
  <si>
    <t>871313121R00</t>
  </si>
  <si>
    <t>871313121RT2</t>
  </si>
  <si>
    <t>871353121RT2</t>
  </si>
  <si>
    <t>877313123R00</t>
  </si>
  <si>
    <t>877353121R00</t>
  </si>
  <si>
    <t>877353123R00</t>
  </si>
  <si>
    <t>998276101R00</t>
  </si>
  <si>
    <t>230220001R00</t>
  </si>
  <si>
    <t>42200750</t>
  </si>
  <si>
    <t>42228300</t>
  </si>
  <si>
    <t>42291012</t>
  </si>
  <si>
    <t>837355121R00</t>
  </si>
  <si>
    <t>871-005VD</t>
  </si>
  <si>
    <t>891211111R00</t>
  </si>
  <si>
    <t>894410010RAB</t>
  </si>
  <si>
    <t>894410010RAC</t>
  </si>
  <si>
    <t>894431311RCA</t>
  </si>
  <si>
    <t>895941311RT2</t>
  </si>
  <si>
    <t>899204111RT2</t>
  </si>
  <si>
    <t>899401112R00</t>
  </si>
  <si>
    <t>917762111RT2</t>
  </si>
  <si>
    <t>917762111RT8</t>
  </si>
  <si>
    <t>918101111R00</t>
  </si>
  <si>
    <t>941941042R00</t>
  </si>
  <si>
    <t>941941292R00</t>
  </si>
  <si>
    <t>941941842R00</t>
  </si>
  <si>
    <t>941955003R00</t>
  </si>
  <si>
    <t>941955102R00</t>
  </si>
  <si>
    <t>073873116R00</t>
  </si>
  <si>
    <t>13231040</t>
  </si>
  <si>
    <t>13331634</t>
  </si>
  <si>
    <t>34572195</t>
  </si>
  <si>
    <t>553-027VD</t>
  </si>
  <si>
    <t>55340035</t>
  </si>
  <si>
    <t>55340299</t>
  </si>
  <si>
    <t>55381110.A</t>
  </si>
  <si>
    <t>55396186.A</t>
  </si>
  <si>
    <t>55396187.A</t>
  </si>
  <si>
    <t>899521111RT1</t>
  </si>
  <si>
    <t>952901111R00</t>
  </si>
  <si>
    <t>953171002R00</t>
  </si>
  <si>
    <t>953941121R00</t>
  </si>
  <si>
    <t>953941321R00</t>
  </si>
  <si>
    <t>953942121R00</t>
  </si>
  <si>
    <t>953942421R00</t>
  </si>
  <si>
    <t>953943125R00</t>
  </si>
  <si>
    <t>113106241R00</t>
  </si>
  <si>
    <t>460030081RT3</t>
  </si>
  <si>
    <t>762342811R00</t>
  </si>
  <si>
    <t>765321811R00</t>
  </si>
  <si>
    <t>766411821R00</t>
  </si>
  <si>
    <t>961043111R00</t>
  </si>
  <si>
    <t>968071112R00</t>
  </si>
  <si>
    <t>968072245R00</t>
  </si>
  <si>
    <t>968072559R00</t>
  </si>
  <si>
    <t>970051100R00</t>
  </si>
  <si>
    <t>971033641R00</t>
  </si>
  <si>
    <t>974031154R00</t>
  </si>
  <si>
    <t>974031265R00</t>
  </si>
  <si>
    <t>981011313R00</t>
  </si>
  <si>
    <t>M21</t>
  </si>
  <si>
    <t>210-010VD</t>
  </si>
  <si>
    <t>210-012VD</t>
  </si>
  <si>
    <t>210-025VD</t>
  </si>
  <si>
    <t>210-026VD</t>
  </si>
  <si>
    <t>210010021RT1</t>
  </si>
  <si>
    <t>210010022RT1</t>
  </si>
  <si>
    <t>210010042RT1</t>
  </si>
  <si>
    <t>210010043RT1</t>
  </si>
  <si>
    <t>210010044RT1</t>
  </si>
  <si>
    <t>210010301RT1</t>
  </si>
  <si>
    <t>210010311RT1</t>
  </si>
  <si>
    <t>210010312RT1</t>
  </si>
  <si>
    <t>210010333RT1</t>
  </si>
  <si>
    <t>210010401R00</t>
  </si>
  <si>
    <t>210020802R00</t>
  </si>
  <si>
    <t>210030352R00</t>
  </si>
  <si>
    <t>210072107R00</t>
  </si>
  <si>
    <t>210110001RT1</t>
  </si>
  <si>
    <t>210110021RT1</t>
  </si>
  <si>
    <t>210110040RT1</t>
  </si>
  <si>
    <t>210110301R00</t>
  </si>
  <si>
    <t>210110523RT1</t>
  </si>
  <si>
    <t>210111011RT1</t>
  </si>
  <si>
    <t>210111012RT2</t>
  </si>
  <si>
    <t>210111021RT1</t>
  </si>
  <si>
    <t>210111051RT1</t>
  </si>
  <si>
    <t>210111053R00</t>
  </si>
  <si>
    <t>210112542R00</t>
  </si>
  <si>
    <t>210120001R00</t>
  </si>
  <si>
    <t>210130151R00</t>
  </si>
  <si>
    <t>210140201R00</t>
  </si>
  <si>
    <t>210140462R00</t>
  </si>
  <si>
    <t>210140463R00</t>
  </si>
  <si>
    <t>210140471R00</t>
  </si>
  <si>
    <t>210140472R00</t>
  </si>
  <si>
    <t>210140551R00</t>
  </si>
  <si>
    <t>210192101R00</t>
  </si>
  <si>
    <t>210192102R00</t>
  </si>
  <si>
    <t>210200070R00</t>
  </si>
  <si>
    <t>210200110R00</t>
  </si>
  <si>
    <t>210201001R00</t>
  </si>
  <si>
    <t>210201038R00</t>
  </si>
  <si>
    <t>210201041R00</t>
  </si>
  <si>
    <t>210201046R00</t>
  </si>
  <si>
    <t>210201047R00</t>
  </si>
  <si>
    <t>210201050R00</t>
  </si>
  <si>
    <t>210201053R00</t>
  </si>
  <si>
    <t>210201054R00</t>
  </si>
  <si>
    <t>210201055R00</t>
  </si>
  <si>
    <t>210201056R00</t>
  </si>
  <si>
    <t>210201062R00</t>
  </si>
  <si>
    <t>210201063R00</t>
  </si>
  <si>
    <t>210201064R00</t>
  </si>
  <si>
    <t>210201067R00</t>
  </si>
  <si>
    <t>210201068R00</t>
  </si>
  <si>
    <t>210201069R00</t>
  </si>
  <si>
    <t>210201070R00</t>
  </si>
  <si>
    <t>210201072R00</t>
  </si>
  <si>
    <t>210201093R00</t>
  </si>
  <si>
    <t>210203005R00</t>
  </si>
  <si>
    <t>210203006R00</t>
  </si>
  <si>
    <t>210203007R00</t>
  </si>
  <si>
    <t>210220212RT2</t>
  </si>
  <si>
    <t>210220301RT1</t>
  </si>
  <si>
    <t>210220301RT2</t>
  </si>
  <si>
    <t>210220301RT3</t>
  </si>
  <si>
    <t>210220302RT1</t>
  </si>
  <si>
    <t>210220302RT2</t>
  </si>
  <si>
    <t>210220302RT3</t>
  </si>
  <si>
    <t>210220302RT5</t>
  </si>
  <si>
    <t>210220302RT6</t>
  </si>
  <si>
    <t>210220302RT7</t>
  </si>
  <si>
    <t>210220321RT1</t>
  </si>
  <si>
    <t>210220372RT1</t>
  </si>
  <si>
    <t>210220431R00</t>
  </si>
  <si>
    <t>210800118RT1</t>
  </si>
  <si>
    <t>210800121RT1</t>
  </si>
  <si>
    <t>210800125RT1</t>
  </si>
  <si>
    <t>210800125RT3</t>
  </si>
  <si>
    <t>210800126RT3</t>
  </si>
  <si>
    <t>210800129RT1</t>
  </si>
  <si>
    <t>210800135RT1</t>
  </si>
  <si>
    <t>210800136RT1</t>
  </si>
  <si>
    <t>210800137RT1</t>
  </si>
  <si>
    <t>210800527RT1</t>
  </si>
  <si>
    <t>210800529RT1</t>
  </si>
  <si>
    <t>210802119RT1</t>
  </si>
  <si>
    <t>210802159RT1</t>
  </si>
  <si>
    <t>210810018RT1</t>
  </si>
  <si>
    <t>210810057RT1</t>
  </si>
  <si>
    <t>210810058RT1</t>
  </si>
  <si>
    <t>210810061RT1</t>
  </si>
  <si>
    <t>210810109RT1</t>
  </si>
  <si>
    <t>211800702R00</t>
  </si>
  <si>
    <t>212110001R00</t>
  </si>
  <si>
    <t>220110561R00</t>
  </si>
  <si>
    <t>220110581R00</t>
  </si>
  <si>
    <t>220111761R00</t>
  </si>
  <si>
    <t>220111771R00</t>
  </si>
  <si>
    <t>220111777R00</t>
  </si>
  <si>
    <t>220260023R00</t>
  </si>
  <si>
    <t>220260721R00</t>
  </si>
  <si>
    <t>220260722R00</t>
  </si>
  <si>
    <t>220260723R00</t>
  </si>
  <si>
    <t>220260725R00</t>
  </si>
  <si>
    <t>220260732R00</t>
  </si>
  <si>
    <t>220260733R00</t>
  </si>
  <si>
    <t>35441120</t>
  </si>
  <si>
    <t>357116410</t>
  </si>
  <si>
    <t>357116411</t>
  </si>
  <si>
    <t>357116412</t>
  </si>
  <si>
    <t>35711643</t>
  </si>
  <si>
    <t>357116430</t>
  </si>
  <si>
    <t>357116440</t>
  </si>
  <si>
    <t>357116441</t>
  </si>
  <si>
    <t>35712101</t>
  </si>
  <si>
    <t>905      R00</t>
  </si>
  <si>
    <t>907      R00</t>
  </si>
  <si>
    <t>M22</t>
  </si>
  <si>
    <t>210010002RT1</t>
  </si>
  <si>
    <t>210010003RT1</t>
  </si>
  <si>
    <t>210010006RT1</t>
  </si>
  <si>
    <t>210010023RT1</t>
  </si>
  <si>
    <t>210010301RT2</t>
  </si>
  <si>
    <t>210010313RT1</t>
  </si>
  <si>
    <t>210010322RT1</t>
  </si>
  <si>
    <t>210020901R00</t>
  </si>
  <si>
    <t>210150608R00</t>
  </si>
  <si>
    <t>210256035R00</t>
  </si>
  <si>
    <t>210800105RT3</t>
  </si>
  <si>
    <t>210803511R00</t>
  </si>
  <si>
    <t>210803512R00</t>
  </si>
  <si>
    <t>211800715R00</t>
  </si>
  <si>
    <t>220-021VD</t>
  </si>
  <si>
    <t>220-022VD</t>
  </si>
  <si>
    <t>220-026VD</t>
  </si>
  <si>
    <t>220-027VD</t>
  </si>
  <si>
    <t>220-028VD</t>
  </si>
  <si>
    <t>220-029VD</t>
  </si>
  <si>
    <t>220-030VD</t>
  </si>
  <si>
    <t>220-031VD</t>
  </si>
  <si>
    <t>220-032VD</t>
  </si>
  <si>
    <t>220-033VD</t>
  </si>
  <si>
    <t>220-034VD</t>
  </si>
  <si>
    <t>220-035VD</t>
  </si>
  <si>
    <t>220-036VD</t>
  </si>
  <si>
    <t>220-037VD</t>
  </si>
  <si>
    <t>220-038VD</t>
  </si>
  <si>
    <t>220-039VD</t>
  </si>
  <si>
    <t>220-040VD</t>
  </si>
  <si>
    <t>220-041VD</t>
  </si>
  <si>
    <t>220-042VD</t>
  </si>
  <si>
    <t>220-043VD</t>
  </si>
  <si>
    <t>220-044VD</t>
  </si>
  <si>
    <t>220-045VD</t>
  </si>
  <si>
    <t>220-046VD</t>
  </si>
  <si>
    <t>220-047VD</t>
  </si>
  <si>
    <t>220-048VD</t>
  </si>
  <si>
    <t>220-049VD</t>
  </si>
  <si>
    <t>220-050VD</t>
  </si>
  <si>
    <t>220-051VD</t>
  </si>
  <si>
    <t>220110095R00</t>
  </si>
  <si>
    <t>220110582R00</t>
  </si>
  <si>
    <t>220111436R00</t>
  </si>
  <si>
    <t>220111737R00</t>
  </si>
  <si>
    <t>220260008R00</t>
  </si>
  <si>
    <t>220260042R00</t>
  </si>
  <si>
    <t>220260044R00</t>
  </si>
  <si>
    <t>220260068R00</t>
  </si>
  <si>
    <t>220280511R00</t>
  </si>
  <si>
    <t>220300002R00</t>
  </si>
  <si>
    <t>220301202R00</t>
  </si>
  <si>
    <t>220301203R00</t>
  </si>
  <si>
    <t>220309999R00</t>
  </si>
  <si>
    <t>220370445R00</t>
  </si>
  <si>
    <t>220370453R00</t>
  </si>
  <si>
    <t>220419999R00</t>
  </si>
  <si>
    <t>220550296R00</t>
  </si>
  <si>
    <t>220829999R00</t>
  </si>
  <si>
    <t>220839999R00</t>
  </si>
  <si>
    <t>220859999R00</t>
  </si>
  <si>
    <t>220870181R00</t>
  </si>
  <si>
    <t>220880056R00</t>
  </si>
  <si>
    <t>220880057R00</t>
  </si>
  <si>
    <t>220890202R00</t>
  </si>
  <si>
    <t>220899999R00</t>
  </si>
  <si>
    <t>28654115.A</t>
  </si>
  <si>
    <t>28654681</t>
  </si>
  <si>
    <t>28654683</t>
  </si>
  <si>
    <t>28655242</t>
  </si>
  <si>
    <t>28655244</t>
  </si>
  <si>
    <t>311717660</t>
  </si>
  <si>
    <t>341-001VD</t>
  </si>
  <si>
    <t>341-002VD</t>
  </si>
  <si>
    <t>341-003VD</t>
  </si>
  <si>
    <t>34121055</t>
  </si>
  <si>
    <t>34536514</t>
  </si>
  <si>
    <t>34536700</t>
  </si>
  <si>
    <t>34571512</t>
  </si>
  <si>
    <t>34571524</t>
  </si>
  <si>
    <t>34571544</t>
  </si>
  <si>
    <t>345715823</t>
  </si>
  <si>
    <t>34572070.A</t>
  </si>
  <si>
    <t>35443176</t>
  </si>
  <si>
    <t>357-011VD</t>
  </si>
  <si>
    <t>35712102</t>
  </si>
  <si>
    <t>35713852</t>
  </si>
  <si>
    <t>35811132</t>
  </si>
  <si>
    <t>35811134</t>
  </si>
  <si>
    <t>374567990006</t>
  </si>
  <si>
    <t>382-001VD</t>
  </si>
  <si>
    <t>382-002VD</t>
  </si>
  <si>
    <t>382-003VD</t>
  </si>
  <si>
    <t>382-004VD</t>
  </si>
  <si>
    <t>382-005VD</t>
  </si>
  <si>
    <t>382-006VD</t>
  </si>
  <si>
    <t>382-007VD</t>
  </si>
  <si>
    <t>382-008VD</t>
  </si>
  <si>
    <t>382-009VD</t>
  </si>
  <si>
    <t>382-010VD</t>
  </si>
  <si>
    <t>382-011VD</t>
  </si>
  <si>
    <t>382-012VD</t>
  </si>
  <si>
    <t>382-013VD</t>
  </si>
  <si>
    <t>382-014VD</t>
  </si>
  <si>
    <t>382-015VD</t>
  </si>
  <si>
    <t>382-016VD</t>
  </si>
  <si>
    <t>382-018VD</t>
  </si>
  <si>
    <t>382-019VD</t>
  </si>
  <si>
    <t>382-020VD</t>
  </si>
  <si>
    <t>382-021VD</t>
  </si>
  <si>
    <t>382-022VD</t>
  </si>
  <si>
    <t>382-023VD</t>
  </si>
  <si>
    <t>382-024VD</t>
  </si>
  <si>
    <t>382-025VD</t>
  </si>
  <si>
    <t>382-026VD</t>
  </si>
  <si>
    <t>382-027VD</t>
  </si>
  <si>
    <t>382-028VD</t>
  </si>
  <si>
    <t>382-029VD</t>
  </si>
  <si>
    <t>382-030VD</t>
  </si>
  <si>
    <t>382-031VD</t>
  </si>
  <si>
    <t>382-032VD</t>
  </si>
  <si>
    <t>382-033VD</t>
  </si>
  <si>
    <t>382-034VD</t>
  </si>
  <si>
    <t>382-035VD</t>
  </si>
  <si>
    <t>382-036VD</t>
  </si>
  <si>
    <t>382-037VD</t>
  </si>
  <si>
    <t>382-038VD</t>
  </si>
  <si>
    <t>382-039VD</t>
  </si>
  <si>
    <t>382-040VD</t>
  </si>
  <si>
    <t>382-041VD</t>
  </si>
  <si>
    <t>382-042VD</t>
  </si>
  <si>
    <t>382-043VD</t>
  </si>
  <si>
    <t>382-044VD</t>
  </si>
  <si>
    <t>382-045VD</t>
  </si>
  <si>
    <t>382-046VD</t>
  </si>
  <si>
    <t>382-047VD</t>
  </si>
  <si>
    <t>382-048VD</t>
  </si>
  <si>
    <t>382-049VD</t>
  </si>
  <si>
    <t>382-050VD</t>
  </si>
  <si>
    <t>382-052VD</t>
  </si>
  <si>
    <t>404214170000</t>
  </si>
  <si>
    <t>42391610</t>
  </si>
  <si>
    <t>42391615</t>
  </si>
  <si>
    <t>460680046R00</t>
  </si>
  <si>
    <t>54872602</t>
  </si>
  <si>
    <t>54872603</t>
  </si>
  <si>
    <t>55146000</t>
  </si>
  <si>
    <t>55146005</t>
  </si>
  <si>
    <t>553433081</t>
  </si>
  <si>
    <t>55347404</t>
  </si>
  <si>
    <t>55347433</t>
  </si>
  <si>
    <t>553474970</t>
  </si>
  <si>
    <t>55347500</t>
  </si>
  <si>
    <t>55347508</t>
  </si>
  <si>
    <t>55347510</t>
  </si>
  <si>
    <t>55347517</t>
  </si>
  <si>
    <t>55347524</t>
  </si>
  <si>
    <t>55347546</t>
  </si>
  <si>
    <t>55347551</t>
  </si>
  <si>
    <t>55347554.A</t>
  </si>
  <si>
    <t>553475540</t>
  </si>
  <si>
    <t>59385446</t>
  </si>
  <si>
    <t>63444177.A</t>
  </si>
  <si>
    <t>M24</t>
  </si>
  <si>
    <t>13331552</t>
  </si>
  <si>
    <t>240-005VD</t>
  </si>
  <si>
    <t>240-007VD</t>
  </si>
  <si>
    <t>240-011VD</t>
  </si>
  <si>
    <t>240-012VD</t>
  </si>
  <si>
    <t>240-013VD</t>
  </si>
  <si>
    <t>240-014VD</t>
  </si>
  <si>
    <t>240-015VD</t>
  </si>
  <si>
    <t>240-016VD</t>
  </si>
  <si>
    <t>240-017VD</t>
  </si>
  <si>
    <t>240-018VD</t>
  </si>
  <si>
    <t>240-019VD</t>
  </si>
  <si>
    <t>240-020VD</t>
  </si>
  <si>
    <t>240-021VD</t>
  </si>
  <si>
    <t>240-022VD</t>
  </si>
  <si>
    <t>240-023VD</t>
  </si>
  <si>
    <t>240070137R00</t>
  </si>
  <si>
    <t>240070138R00</t>
  </si>
  <si>
    <t>240070139R00</t>
  </si>
  <si>
    <t>240070140R00</t>
  </si>
  <si>
    <t>240070141R00</t>
  </si>
  <si>
    <t>240070142R00</t>
  </si>
  <si>
    <t>240070143R00</t>
  </si>
  <si>
    <t>240070144R00</t>
  </si>
  <si>
    <t>240070713R00</t>
  </si>
  <si>
    <t>240070714R00</t>
  </si>
  <si>
    <t>240070715R00</t>
  </si>
  <si>
    <t>240070818R00</t>
  </si>
  <si>
    <t>240070823R00</t>
  </si>
  <si>
    <t>240070890R00</t>
  </si>
  <si>
    <t>240070891R00</t>
  </si>
  <si>
    <t>240070892R00</t>
  </si>
  <si>
    <t>240070898R00</t>
  </si>
  <si>
    <t>240070899R00</t>
  </si>
  <si>
    <t>240071000R00</t>
  </si>
  <si>
    <t>240071019R00</t>
  </si>
  <si>
    <t>240071020R00</t>
  </si>
  <si>
    <t>240071024R00</t>
  </si>
  <si>
    <t>240071025R00</t>
  </si>
  <si>
    <t>240071085R00</t>
  </si>
  <si>
    <t>240071086R00</t>
  </si>
  <si>
    <t>240071091R00</t>
  </si>
  <si>
    <t>240071092R00</t>
  </si>
  <si>
    <t>240071093R00</t>
  </si>
  <si>
    <t>240071094R00</t>
  </si>
  <si>
    <t>240071102R00</t>
  </si>
  <si>
    <t>240080100R00</t>
  </si>
  <si>
    <t>240080101R00</t>
  </si>
  <si>
    <t>240080102R00</t>
  </si>
  <si>
    <t>240080103R00</t>
  </si>
  <si>
    <t>240080175R00</t>
  </si>
  <si>
    <t>240080176R00</t>
  </si>
  <si>
    <t>240080178R00</t>
  </si>
  <si>
    <t>240080216R00</t>
  </si>
  <si>
    <t>240080217R00</t>
  </si>
  <si>
    <t>240080218R00</t>
  </si>
  <si>
    <t>240080219R00</t>
  </si>
  <si>
    <t>240080220R00</t>
  </si>
  <si>
    <t>240080221R00</t>
  </si>
  <si>
    <t>240090050R00</t>
  </si>
  <si>
    <t>240090503R00</t>
  </si>
  <si>
    <t>240090504R00</t>
  </si>
  <si>
    <t>240090505R00</t>
  </si>
  <si>
    <t>240090506R00</t>
  </si>
  <si>
    <t>240090507R00</t>
  </si>
  <si>
    <t>240090508R00</t>
  </si>
  <si>
    <t>240110233R00</t>
  </si>
  <si>
    <t>240110234R00</t>
  </si>
  <si>
    <t>240110236R00</t>
  </si>
  <si>
    <t>240110237R00</t>
  </si>
  <si>
    <t>243010327R00</t>
  </si>
  <si>
    <t>27231832.A</t>
  </si>
  <si>
    <t>713441111R00</t>
  </si>
  <si>
    <t>713491132R00</t>
  </si>
  <si>
    <t>941955002R00</t>
  </si>
  <si>
    <t>M42</t>
  </si>
  <si>
    <t>220119999R00</t>
  </si>
  <si>
    <t>28655181</t>
  </si>
  <si>
    <t>420160008R00</t>
  </si>
  <si>
    <t>42211456</t>
  </si>
  <si>
    <t>5511356980</t>
  </si>
  <si>
    <t>723191123R00</t>
  </si>
  <si>
    <t>733110803R00</t>
  </si>
  <si>
    <t>733111102R00</t>
  </si>
  <si>
    <t>733111105R00</t>
  </si>
  <si>
    <t>733113112R00</t>
  </si>
  <si>
    <t>733113113R00</t>
  </si>
  <si>
    <t>783120014RAC</t>
  </si>
  <si>
    <t>783414140R00</t>
  </si>
  <si>
    <t>783414340R00</t>
  </si>
  <si>
    <t>900      R04</t>
  </si>
  <si>
    <t>900      RT5</t>
  </si>
  <si>
    <t>904      R01</t>
  </si>
  <si>
    <t>S</t>
  </si>
  <si>
    <t>979081111R00</t>
  </si>
  <si>
    <t>979081121R00</t>
  </si>
  <si>
    <t>979088212R00</t>
  </si>
  <si>
    <t>979093111R00</t>
  </si>
  <si>
    <t>979990001R00</t>
  </si>
  <si>
    <t>979990201R00</t>
  </si>
  <si>
    <t>Centrální intergrovaný záchranný</t>
  </si>
  <si>
    <t>systém pro Lipenskou oblast</t>
  </si>
  <si>
    <t>Frymburk</t>
  </si>
  <si>
    <t>Zkrácený popis / Varianta</t>
  </si>
  <si>
    <t>Všeobecné konstrukce a práce</t>
  </si>
  <si>
    <t>Vytýčení stavby</t>
  </si>
  <si>
    <t>Zaměření stavby po jejím dokončení</t>
  </si>
  <si>
    <t>Dopravní opatření</t>
  </si>
  <si>
    <t>Vytýčení inženýrských sítí</t>
  </si>
  <si>
    <t>Výkon autorského dozoru</t>
  </si>
  <si>
    <t>Dílenská dokumentace</t>
  </si>
  <si>
    <t>Projekt skutečného provedení</t>
  </si>
  <si>
    <t>mimo EI a SLD</t>
  </si>
  <si>
    <t>Dodávka a montáž  hasících přístrojů</t>
  </si>
  <si>
    <t>dle požární zprávy</t>
  </si>
  <si>
    <t>Zemní práce</t>
  </si>
  <si>
    <t>Sejmutí ornice, pl. do 400 m2, přemístění do 50 m</t>
  </si>
  <si>
    <t>Odkopávky pro silnice v hor. 3 do 1000 m3</t>
  </si>
  <si>
    <t>Příplatek za lepivost - odkop. pro silnice v hor.3</t>
  </si>
  <si>
    <t>Hloubení nezapažených jam v hor.3 do 1000 m3</t>
  </si>
  <si>
    <t>Příplatek za lepivost - hloubení nezap.jam v hor.3</t>
  </si>
  <si>
    <t>Hloubení nezapažených jam v hor.4 do 1000 m3</t>
  </si>
  <si>
    <t>Příplatek za lepivost - hloubení nezap.jam v hor.4</t>
  </si>
  <si>
    <t>Hloubení nezapažených jam v hor.5 do 1000 m3</t>
  </si>
  <si>
    <t>Hloubení rýh šířky do 60 cm v hor.3 nad 100 m3</t>
  </si>
  <si>
    <t>Příplatek za lepivost - hloubení rýh 60 cm v hor.3</t>
  </si>
  <si>
    <t>Hloubení rýh šířky do 60 cm v hor.4 do 100 m3</t>
  </si>
  <si>
    <t>Hloubení rýh šířky do 200 cm v hor.4 do 1000 m3</t>
  </si>
  <si>
    <t>Příplatek za lepivost - hloubení rýh 200cm v hor.4</t>
  </si>
  <si>
    <t>Hloubení šachet v hor.4 do 100 m3</t>
  </si>
  <si>
    <t>Příplatek za lepivost - hloubení šachet v hor.4</t>
  </si>
  <si>
    <t>Vodorovné přemístění výkopku z hor.1-4 do 10000 m</t>
  </si>
  <si>
    <t>Poplatek za skládku zeminy</t>
  </si>
  <si>
    <t>Uložení sypaniny na skl.-modelace na výšku přes 2m</t>
  </si>
  <si>
    <t>Zásyp jam, rýh a šachet sypaninou</t>
  </si>
  <si>
    <t>Obsyp potrubí štěrkopískem</t>
  </si>
  <si>
    <t>dovoz štěrkopísku ze vzdálenosti 15km</t>
  </si>
  <si>
    <t>Obsyp objektu prohozenou zeminou</t>
  </si>
  <si>
    <t>dovoz zeminy ze vzdálenosti 500 m</t>
  </si>
  <si>
    <t>Přisypání těsnicí fólie ve svahu</t>
  </si>
  <si>
    <t>Založení trávníku lučního ve svahu s dodáním osiva</t>
  </si>
  <si>
    <t>Rozprostření zemin v rov./sklonu 1:5, tl. do 15 cm</t>
  </si>
  <si>
    <t>Úprava pláně v zářezech v hor. 1-4, se zhutněním</t>
  </si>
  <si>
    <t>Úprava pláně v zářezech se zhutněním - ručně</t>
  </si>
  <si>
    <t>Rozprostření ornice v rovině tloušťka 15 cm</t>
  </si>
  <si>
    <t>Výkop kabelové rýhy 35/70 cm  hor.3</t>
  </si>
  <si>
    <t>strojní výkop rýhy</t>
  </si>
  <si>
    <t>Zához rýhy 35/70 cm, hornina třídy 3, se zhutněním</t>
  </si>
  <si>
    <t>Přesun hmot pro budovy zděné výšky do 24 m</t>
  </si>
  <si>
    <t>Základy</t>
  </si>
  <si>
    <t>Trativody z PVC drenážních flexibilních trubek</t>
  </si>
  <si>
    <t>lože a obsyp štěrkopískem, trubky d 160 mm</t>
  </si>
  <si>
    <t>Trubkové mikropiloty D 105, včetně injektáže</t>
  </si>
  <si>
    <t>Železobeton zákl. desek z cem.portladských C 25/30</t>
  </si>
  <si>
    <t>Bednění stěn základových desek - zřízení</t>
  </si>
  <si>
    <t>bednící materiál prkna</t>
  </si>
  <si>
    <t>Bednění stěn základových desek - odstranění</t>
  </si>
  <si>
    <t>Výztuž základových desek ze svařovaných sítí</t>
  </si>
  <si>
    <t>svařovanou sítí - drát 8,0  oka 150/150</t>
  </si>
  <si>
    <t>Beton základových pasů prostý C 20/25 (B 25)</t>
  </si>
  <si>
    <t>Železobeton základových pasů C 20/25 (B 25)</t>
  </si>
  <si>
    <t>Bednění stěn základových pasů - zřízení</t>
  </si>
  <si>
    <t>Bednění stěn základových pasů - odstranění</t>
  </si>
  <si>
    <t>Bednění kotev.otvorů pasů do 0,10 m2, hl. 1 m</t>
  </si>
  <si>
    <t>Výztuž základových pasů z betonářské oceli 10 505</t>
  </si>
  <si>
    <t>Železobeton zákl. patek z cem. portladských C25/30</t>
  </si>
  <si>
    <t>Bednění stěn základových patek - zřízení</t>
  </si>
  <si>
    <t>Bednění stěn základových patek - odstranění</t>
  </si>
  <si>
    <t>Výztuž základových patek do 12 mm z oceli 10 505</t>
  </si>
  <si>
    <t>Zdi podpěrné a volné</t>
  </si>
  <si>
    <t>Zazdívka otvorů plochy do 4 m2 cihlami na MC</t>
  </si>
  <si>
    <t>s použitím suché maltové směsi</t>
  </si>
  <si>
    <t>Uložení tvárnic ztraceného bednění, tl. 30 cm</t>
  </si>
  <si>
    <t>zalití tvárnic betonem C 20/25</t>
  </si>
  <si>
    <t>Zdivo nosné cihelný blok tloušťka 24 cm</t>
  </si>
  <si>
    <t>cihla pero + drážka 240 x 372 x 238 mm, P 10</t>
  </si>
  <si>
    <t>Zdivo nosné cihelný blok tloušťka 30 cm</t>
  </si>
  <si>
    <t>cihla pero + drážka 300 x 247 x 238 mm, P 10</t>
  </si>
  <si>
    <t>Zdivo nosné cihelný blok tloušťka 44 cm</t>
  </si>
  <si>
    <t>cihla pero + drážka 440 x 247 x 238 mm, P 10</t>
  </si>
  <si>
    <t>Osazování bloků betonových</t>
  </si>
  <si>
    <t>podkladek 1000/300/350 s kluznou plochou</t>
  </si>
  <si>
    <t>Zdi nadzákladové ŽB z betonu C 25/30, tl. 30 cm</t>
  </si>
  <si>
    <t>oboustranné bednění, výztuž 120 kg/m3</t>
  </si>
  <si>
    <t>Zdi nadzákladové ŽB z betonu C 25/30, tl. 45 cm</t>
  </si>
  <si>
    <t>Železobeton nadzákladových zdí C 25/30  (B 30)</t>
  </si>
  <si>
    <t>Bednění nadzákladových zdí oboustranné - zřízení</t>
  </si>
  <si>
    <t>Bednění nadzákladových zdí oboustranné-odstranění</t>
  </si>
  <si>
    <t>Výztuž nadzákladových zdí z betonářské ocelí 10505</t>
  </si>
  <si>
    <t>Překlad POROTHERM plochý 115x71x1000 mm</t>
  </si>
  <si>
    <t>Překlad keramický plochý 115x71x1250 mm</t>
  </si>
  <si>
    <t>Překlad keramický vysoký 70x235x1000 mm</t>
  </si>
  <si>
    <t>Překlad  keramický vysoký 70x235x1250 mm</t>
  </si>
  <si>
    <t>Překlad keramický vysoký 70x235x1500 mm</t>
  </si>
  <si>
    <t>Překlad keramický vysoký 70x235x1750 mm</t>
  </si>
  <si>
    <t>Překlad keramický vysoký 70x235x2000 mm</t>
  </si>
  <si>
    <t>Překlad keramický vysoký 70x235x2250 mm</t>
  </si>
  <si>
    <t>Překlad keramický vysoký 70x235x2500 mm</t>
  </si>
  <si>
    <t>Překlad keramický vysoký 70x235x2750 mm</t>
  </si>
  <si>
    <t>Beton překladů železový  C 25/30  XC4, XF2</t>
  </si>
  <si>
    <t>Bednění překladů - zřízení</t>
  </si>
  <si>
    <t>Bednění překladů - odstranění</t>
  </si>
  <si>
    <t>Výztuž překladů a říms z betonářské ocelí 10505</t>
  </si>
  <si>
    <t>Osazení ocelových válcovaných nosníků  č.14-22 , I 14</t>
  </si>
  <si>
    <t>včetně dodávky profilu I č.14</t>
  </si>
  <si>
    <t>Osazení ocelových válcovaných nosníků  č.14-22 , I 16</t>
  </si>
  <si>
    <t>včetně dodávky profilu I č.16</t>
  </si>
  <si>
    <t>Osazení ocelových válcovaných nosníků  č.14-22, I 20</t>
  </si>
  <si>
    <t>včetně dodávky profilu I č.20</t>
  </si>
  <si>
    <t>Osazení ocelových válcovaných nosníků  č.14-22, I 22</t>
  </si>
  <si>
    <t>včetně dodávky profilu I č. 22</t>
  </si>
  <si>
    <t>Osazení ocelových válcovaných nosníků č.22 a vyšší I 24</t>
  </si>
  <si>
    <t>včetně dodávky profilu I č.24</t>
  </si>
  <si>
    <t>Osazení ocelových válcovaných nosníků č.22 a vyšší</t>
  </si>
  <si>
    <t>včetně dodávky profilu U č. 26</t>
  </si>
  <si>
    <t>Úložný blok  30x35x100 cm</t>
  </si>
  <si>
    <t>Sloupy a pilíře, stožáry a rámové stojky</t>
  </si>
  <si>
    <t>Beton sloupů a pilířů železový C 25/30   (B 30)</t>
  </si>
  <si>
    <t>Bed sloup pilir hran 0,40m2</t>
  </si>
  <si>
    <t>Odbedneni sloupu a piliru</t>
  </si>
  <si>
    <t>Vyzt sloup pilir svar sit d 6 30mm</t>
  </si>
  <si>
    <t>Stěny a příčky</t>
  </si>
  <si>
    <t>Příčka jednoduchá z cihel cihelný blok P+D tl.11,5 cm</t>
  </si>
  <si>
    <t>cihla pero + drážka 115 x 497 x 238 mm, P 10</t>
  </si>
  <si>
    <t>Příčky z tvárnic cihelný blok na maltu MVC, tl. 65 mm</t>
  </si>
  <si>
    <t>Příčky cihelný blok 14 P+D na MVC 5, tl. 140 mm</t>
  </si>
  <si>
    <t>Podhled sádrokartonový na zavěšenou ocel. konstr.</t>
  </si>
  <si>
    <t>desky protipožární tl. 2 x 12,5 mm, bez izolace</t>
  </si>
  <si>
    <t>Ukotvení příček k beton.kcím přistřelenými kotvami</t>
  </si>
  <si>
    <t>Zdivo plotové, tvárnice betonové, tl.19 cm,stříška</t>
  </si>
  <si>
    <t>tvárnice v barvě okrové, štípané oboustranně</t>
  </si>
  <si>
    <t>Plentování ocelových nosníků</t>
  </si>
  <si>
    <t>Stropy a stropní konstrukce (pro pozemní stavby)</t>
  </si>
  <si>
    <t>Tyč průřezu I 100, střední, jakost oceli 11375</t>
  </si>
  <si>
    <t>Tyč průřezu HEB 500, hrubé, jakost oceli 11 375</t>
  </si>
  <si>
    <t>Strop z vložek keramické, tl. 25 cm, OVN 62,5 cm</t>
  </si>
  <si>
    <t>nosník délky 4,0 m, nadbetonávka 6 cm, Kari síť</t>
  </si>
  <si>
    <t>Strop ze železobetonu beton C 25/30, tl. 15 cm</t>
  </si>
  <si>
    <t>bednění, výztuž 120 kg/m3, podpěrná konstrukce</t>
  </si>
  <si>
    <t>Stropy deskové ze železobetonu C 25/30 XC4, XF2</t>
  </si>
  <si>
    <t>Bednění stropů deskových, bednění vlastní -zřízení</t>
  </si>
  <si>
    <t>systémové, včetně podepření, tl. stropu 24 cm</t>
  </si>
  <si>
    <t>Bednění stropů deskových, vlastní - odstranění</t>
  </si>
  <si>
    <t>Podpěrná konstr. stropů do 20 kPa - zřízení</t>
  </si>
  <si>
    <t>Podpěrná konstr. stropů do 20 kPa - odstranění</t>
  </si>
  <si>
    <t>Bednění stropů plech pozink. vlna 40 mm tl. 1,2 mm</t>
  </si>
  <si>
    <t>Výztuž stropů z betonářské oceli 11375</t>
  </si>
  <si>
    <t>Nosníky z betonu železového C 25/30 XC4,XF2</t>
  </si>
  <si>
    <t>Bednění nosníků - zřízení</t>
  </si>
  <si>
    <t>Bednění nosníků - odstranění</t>
  </si>
  <si>
    <t>Podpěrná konstr. nosníků do 20 kPa - zřízení</t>
  </si>
  <si>
    <t>Podpěrná konstr. nosníků do 20 kPa - odstranění</t>
  </si>
  <si>
    <t>Výztuž nosníků z betonářské oceli 10505</t>
  </si>
  <si>
    <t>Osazení válcovaných nosníků ve stropech do č. 12</t>
  </si>
  <si>
    <t>Osazení válcovaných nosníků ve stropech č. 14 - 22</t>
  </si>
  <si>
    <t>včetně dodávky profilu I č. 20</t>
  </si>
  <si>
    <t>Osazení válcovaných nosníků ve stropech č.24 a výš</t>
  </si>
  <si>
    <t>Podhledy SDK, kovová.kce CD. 1x deska RFI 15 mm</t>
  </si>
  <si>
    <t>Ztužující pásy a věnce z betonu železového C 25/30</t>
  </si>
  <si>
    <t>Bednění ztužujících pásů a věnců - zřízení</t>
  </si>
  <si>
    <t>Bednění ztužujících pásů a věnců - odstranění</t>
  </si>
  <si>
    <t>Výztuž ztužujících pásů a věnců z oceli 10505</t>
  </si>
  <si>
    <t>Schodiště</t>
  </si>
  <si>
    <t>Schodišťová konstrukce ŽB beton C 25/30</t>
  </si>
  <si>
    <t>bednění, výztuž 120 kg/m3</t>
  </si>
  <si>
    <t>Schody v opěr. zídkách z bet. prostého B20(C16/20)</t>
  </si>
  <si>
    <t>Bednění stupňů přímočarých - zřízení</t>
  </si>
  <si>
    <t>Bednění stupňů přímočarých - odstranění</t>
  </si>
  <si>
    <t>Podkladní vrstvy komunikací a zpevněných ploch</t>
  </si>
  <si>
    <t>Podklad ze štěrkopísku po zhutnění tloušťky 15 cm ( kačírek)</t>
  </si>
  <si>
    <t>Podklad z kameniva drceného vel.32-63 mm,tl. 15 cm</t>
  </si>
  <si>
    <t>Podklad z kameniva drceného vel.32-63 mm,tl. 20 cm</t>
  </si>
  <si>
    <t>Podklad pro zpevnění z kameniva drceného 0 - 63 mm</t>
  </si>
  <si>
    <t>Podklad ze štěrkodrti po zhutnění tloušťky 3 cm  fr. 4-8 mm</t>
  </si>
  <si>
    <t>Podklad ze štěrkodrti po zhutnění tloušťky 4 cm  fr. 4-8mm</t>
  </si>
  <si>
    <t>Podklad ze štěrkodrti po zhutnění tloušťky 15 cm fr. 8-16 mm</t>
  </si>
  <si>
    <t>Podklad kamen. obal. asfaltem tř.1 do 3 m,tl.10 cm ACL16+(OK)</t>
  </si>
  <si>
    <t>plochy 201-1000 m2</t>
  </si>
  <si>
    <t>Vyspravení podkladu po překopech kam.hrubě drceným</t>
  </si>
  <si>
    <t>Vyspravení podkladu po překopech kam.obal.asfaltem</t>
  </si>
  <si>
    <t>Přesun hmot, pozemní komunikace, kryt živičný</t>
  </si>
  <si>
    <t>Kryty štěrkových a živičných pozemních komunikací a zpevněných ploch</t>
  </si>
  <si>
    <t>Postřik živičný spojovací z asfaltu 0,5-0,7 kg/m2</t>
  </si>
  <si>
    <t>Beton asfal.SMA 11+ ( AKM) modifik. do 3 m,tl. 4 cm</t>
  </si>
  <si>
    <t>plochy 101-200 m2</t>
  </si>
  <si>
    <t>Beton asf. ACO 11+ (ABS I), modifik. do 3 m, 4 cm</t>
  </si>
  <si>
    <t>Beton asf.ACL 22+ (ABVH I), modifik.,do 3 m, 7 cm</t>
  </si>
  <si>
    <t>Dlažby a předlažby pozemních komunikací a zpevněných ploch</t>
  </si>
  <si>
    <t>Žlab MultiDrain V150 10 - 100/18,5 h 25,5/26</t>
  </si>
  <si>
    <t>Žlab MultiDrain V150 G 10.1 - 50/18,5 h 26/26</t>
  </si>
  <si>
    <t>Dlažba přírodní  a barevná 20x10x8</t>
  </si>
  <si>
    <t>Dlažba  červená pro nevidomé 20x10x6</t>
  </si>
  <si>
    <t>Dlažba  přírodní  20x10x6</t>
  </si>
  <si>
    <t>Kladení zámkové dlažby tl. 6 cm do drtě tl. 4 cm</t>
  </si>
  <si>
    <t>Kladení zámkové dlažby tl. 8 cm do drtě tl. 4 cm</t>
  </si>
  <si>
    <t>Montáž odvodňovacího žlabu - polymerbeton</t>
  </si>
  <si>
    <t>včetně beton. lože B 20, zatížení C 250, D 400 kN</t>
  </si>
  <si>
    <t>Přesun hmot, pozemní komunikace, kryt dlážděný</t>
  </si>
  <si>
    <t>Úprava povrchů vnitřní</t>
  </si>
  <si>
    <t>Zakrývání výplní vnitřních otvorů</t>
  </si>
  <si>
    <t>Omítka stropů vnitřní vápenocemetová štuková</t>
  </si>
  <si>
    <t>montáž a demontáž pomocného lešení</t>
  </si>
  <si>
    <t>Podhoz pod omítku zdí vnitřních z tvárnic, z MVC</t>
  </si>
  <si>
    <t>Omítka stěn vnitřní vápenocementová hladká</t>
  </si>
  <si>
    <t>Omítka stěn vnitřní vápenocementová štuková</t>
  </si>
  <si>
    <t>Omítka vápenná vnitřního ostění - štuková</t>
  </si>
  <si>
    <t>Úprava povrchů vnější</t>
  </si>
  <si>
    <t>Zakrývání výplní vnějších otvorů z lešení</t>
  </si>
  <si>
    <t>KZS s miner.vatou, plocha s otvory, budovy nad 6 m - 80 mm</t>
  </si>
  <si>
    <t>desky fasádní minerální vlna tl. 80 mm, D+D lešení,pronájem lešení 1 měsíc</t>
  </si>
  <si>
    <t>KZS s miner.vatou, plocha s otvory, budovy nad 6 m - 60 mm</t>
  </si>
  <si>
    <t>desky fasádní minerální vlna tl. 60 mm, D+D lešení,pronájem lešení 1 měsíc</t>
  </si>
  <si>
    <t>KZS s miner.vatou, plocha s otvory, budovy nad 6 m - 100 mm</t>
  </si>
  <si>
    <t>desky fasádní minerální vlna tl. 100 mm, D+D lešení,pronájem lešení 1 měsíc</t>
  </si>
  <si>
    <t>KZS s miner.vatou, plocha s otvory, budovy nad 6 m - 160 mm</t>
  </si>
  <si>
    <t xml:space="preserve">desky fasádní minerální vlna tl. 160 mm, D+D lešení,pronájem lešení 1 měsíc
</t>
  </si>
  <si>
    <t>Omítka stěn dekorativ. Terra-marmolit střednězrnná</t>
  </si>
  <si>
    <t>Podlahy a podlahové konstrukce</t>
  </si>
  <si>
    <t>Mazanina z betonu C 16/20, tloušťka 15 cm</t>
  </si>
  <si>
    <t>Mazanina z betonu C 16/20, tloušťka 6 cm</t>
  </si>
  <si>
    <t>Mazanina betonová tl. 5 - 8 cm C 20/25  (B 25)</t>
  </si>
  <si>
    <t>Mazanina betonová tl. 12 - 24 cm C 20/25  (B 25)</t>
  </si>
  <si>
    <t>Povrchový vsyp na betonové podlahy strojně hlazený</t>
  </si>
  <si>
    <t>posypová směs s křemíkem</t>
  </si>
  <si>
    <t>Výztuž mazanin svařovanou sítí z drátů tažených</t>
  </si>
  <si>
    <t>svařovaná síť - drát 6,0 mm, oka 100/100 mm</t>
  </si>
  <si>
    <t>svařovaná síť - drát 6,0 mm, oka 150/150 mm</t>
  </si>
  <si>
    <t>Násyp z kameniva těženého 0 - 4, tř. I - kačírek</t>
  </si>
  <si>
    <t>Násyp ze štěrkopísku 0 - 32, tř. I</t>
  </si>
  <si>
    <t>Potěr betonový PROFI, silo, tl. 50 mm</t>
  </si>
  <si>
    <t>Výplně otvorů</t>
  </si>
  <si>
    <t>Dveře jednokřídlové 60/197,  zárubeň, práh T7</t>
  </si>
  <si>
    <t>dřevěné hladké plné</t>
  </si>
  <si>
    <t>Dveře jednokřídlové 70/197, zárubeň, práh  T6</t>
  </si>
  <si>
    <t>Dveře jednokřídlové 70/197,  zárubeň, práh T5</t>
  </si>
  <si>
    <t>dřevěné hladké, ze 2/3 zasklené</t>
  </si>
  <si>
    <t>Dveře jednokřídlové 80/197,  zárubeň, práh  T4</t>
  </si>
  <si>
    <t>Dveře jednokřídlové 80/197, zárubeň, práh  T3</t>
  </si>
  <si>
    <t>Dveře jednokřídlové 90/197, zárubeň, práh  T2</t>
  </si>
  <si>
    <t>Dveře jednokřídlové 90/197, zárubeň, práh  T1</t>
  </si>
  <si>
    <t>Dveře dvoukřídlové 145/197 protipožární , zárubeň,  K3</t>
  </si>
  <si>
    <t>samozavírač</t>
  </si>
  <si>
    <t>Izolace proti vodě</t>
  </si>
  <si>
    <t>Izolace, tlak. voda, vodorovná fólií PVC, volně</t>
  </si>
  <si>
    <t>včetně dodávky fólie PE tl. 1,5 mm</t>
  </si>
  <si>
    <t>Izolace, tlaková voda, svislá fólií PVC, volně</t>
  </si>
  <si>
    <t>Izolace tlaková, podkladní textilie, vodorovná</t>
  </si>
  <si>
    <t xml:space="preserve">včetně dodávky textilie  300g/m2
</t>
  </si>
  <si>
    <t>Izolace tlaková, ochranná textilie, vodorovná</t>
  </si>
  <si>
    <t>Izolace tlaková, podkladní textilie svislá</t>
  </si>
  <si>
    <t>včetně dodávky textilie  300g/m2</t>
  </si>
  <si>
    <t>Izolace tlaková, ochranná textilie svislá</t>
  </si>
  <si>
    <t>Provedení  spojů sloup a stěny</t>
  </si>
  <si>
    <t>Přesun hmot pro izolace proti vodě, výšky do 60 m</t>
  </si>
  <si>
    <t>Izolace střech (živičné krytiny)</t>
  </si>
  <si>
    <t>Povlaková krytina střech do 10°, termoplasty tl. 2 mm</t>
  </si>
  <si>
    <t>fólie  tl. 2,0 mm</t>
  </si>
  <si>
    <t>Přesun hmot pro povlakové krytiny, výšky do 24 m</t>
  </si>
  <si>
    <t>Izolace tepelné</t>
  </si>
  <si>
    <t>Deska polystyrén samozhášivý EPS 100 S</t>
  </si>
  <si>
    <t>Deska polystyrén samozhášivý EPS 100 Z</t>
  </si>
  <si>
    <t>Deska Styrodur 4000 CS 1250 x 600 x 90 mm zelená</t>
  </si>
  <si>
    <t>Deska Styrodur 2500 C 1250 x 600 x 40 mm zelená</t>
  </si>
  <si>
    <t>Deska z minerální 140 mm</t>
  </si>
  <si>
    <t>Izolace tepelné volně položené</t>
  </si>
  <si>
    <t>Izolace tepelné stropu spodem  tl.4 cm</t>
  </si>
  <si>
    <t>minerální vata tloušťka 4 cm</t>
  </si>
  <si>
    <t>Izolace tepelné stropu spodem  tl. 16 cm</t>
  </si>
  <si>
    <t>minerální vata tloušťka 16 cm</t>
  </si>
  <si>
    <t>Izolace tepelné stropu spodem  tl.14 cm</t>
  </si>
  <si>
    <t>Izolace tepelné stropu spodem  tl. 10 cm</t>
  </si>
  <si>
    <t>minerální vata tloušťka 10 cm</t>
  </si>
  <si>
    <t>Izolace tepelné stropu spodem  tl. 12 cm</t>
  </si>
  <si>
    <t>minerální vata tloušťka 12 cm</t>
  </si>
  <si>
    <t>Izolace tepelné stropů vrchem kladené volně</t>
  </si>
  <si>
    <t>2 vrstvy - materiál ve specifikaci</t>
  </si>
  <si>
    <t>Montáž parozábrany krovů spodem s přelepením spojů</t>
  </si>
  <si>
    <t>včetně folie</t>
  </si>
  <si>
    <t>Montáž parozábrany, zavěšené podhl., přelep. spojů</t>
  </si>
  <si>
    <t>včetně folie PE</t>
  </si>
  <si>
    <t>Izolace tepelná stěn</t>
  </si>
  <si>
    <t>materiál ve specifikaci</t>
  </si>
  <si>
    <t>Překrytí pásem A 500/H</t>
  </si>
  <si>
    <t>Izolace tepelné překrytím pásem folie PE</t>
  </si>
  <si>
    <t>Přesun hmot pro izolace tepelné, výšky do 24 m</t>
  </si>
  <si>
    <t>Vnitřní kanalizace</t>
  </si>
  <si>
    <t>Potrubí kanalizační PVC připojovací, D 50 x 3,0</t>
  </si>
  <si>
    <t>Potrubí kanalizační PVC připojovací, D 63 x 3,0</t>
  </si>
  <si>
    <t>Potrubí PP odpadní  hrdlové DN 70 x 1,9 mm</t>
  </si>
  <si>
    <t>Potrubí PP odpadní  hrdlové DN 100 x 2,7 mm</t>
  </si>
  <si>
    <t>Vyvedení odpadních výpustek D 50 x 1,8</t>
  </si>
  <si>
    <t>Vyvedení odpadních výpustek D 63 x 1,8</t>
  </si>
  <si>
    <t>Vyvedení odpadních výpustek D 110 x 2,3</t>
  </si>
  <si>
    <t>Vpusť podlahová se zápach.uzávěr. DN 40/50  HL 300  - sprchové kouty zděné</t>
  </si>
  <si>
    <t>mřížka nerez, izol.soupr. s fólií EPDM</t>
  </si>
  <si>
    <t>Vpusť podlahová (sklepní) se zápach. uzávěr. HL 72</t>
  </si>
  <si>
    <t>HL72.1 DN 75/110,s izolační přírubou</t>
  </si>
  <si>
    <t>Lapač střešních splavenin PP HL600 DN 100, kloub</t>
  </si>
  <si>
    <t>zápachová klapka, koš na listí</t>
  </si>
  <si>
    <t>Hlavice ventilační přivětrávací HL900</t>
  </si>
  <si>
    <t>přivzdušňovací ventil HL900, DN 50/70/100</t>
  </si>
  <si>
    <t>Ventilační střešní souprava HL</t>
  </si>
  <si>
    <t>souprava větrací hlavice PP HL810  DN 100</t>
  </si>
  <si>
    <t>Zkouška těsnosti kanalizace vodou DN 125</t>
  </si>
  <si>
    <t>Zkouška těsnosti kanalizace vodou DN 200</t>
  </si>
  <si>
    <t>Přesun hmot pro vnitřní kanalizaci, výšky do 24 m</t>
  </si>
  <si>
    <t>Vnitřní vodovod</t>
  </si>
  <si>
    <t>Kohout kulový R250D, PN 42 3/8" páčka,do 185° červený</t>
  </si>
  <si>
    <t>Kohout kulový R250D, PN 42 3/4" páčka, 185°červený</t>
  </si>
  <si>
    <t>Kohout kulový R250D, PN 35 1" páčka, 185°červený</t>
  </si>
  <si>
    <t>Kohout kulový R250D, PN 35 1 1/4" páčka, do 185°červený</t>
  </si>
  <si>
    <t>Kohout kulový R250D, PN 35 1 1/2" páčka,do 185°červený</t>
  </si>
  <si>
    <t>Kohout kulový R250D, PN 35 2" páčka, do 185°červený</t>
  </si>
  <si>
    <t>Ventil zpětný závitový Ve 3030 G 5/4 se dvěmi závity</t>
  </si>
  <si>
    <t>Ventil zpětný závitový Ve 3030 G2 se dvěmi závity</t>
  </si>
  <si>
    <t>Filtr s vnitřními závity R74A 3/4"</t>
  </si>
  <si>
    <t>Ventil pojistný pružinový rohový PN 6 G1 do 120° se dvěmi závity</t>
  </si>
  <si>
    <t>Nosný žlab pro jedno potrubí</t>
  </si>
  <si>
    <t>včetně uchycení</t>
  </si>
  <si>
    <t>Nosný žlab pro dvě potrubí</t>
  </si>
  <si>
    <t>Tvarovka ISO 50</t>
  </si>
  <si>
    <t>Vodovod, potrubí ocelové pozinkované DN 32</t>
  </si>
  <si>
    <t xml:space="preserve">ochrana potrubí pozdrem Mirelon
</t>
  </si>
  <si>
    <t>Vodovod, potrubí ocelové pozink. DN 25, ochrana</t>
  </si>
  <si>
    <t>ochrana potrubí pozdrem Mirelon</t>
  </si>
  <si>
    <t>Vodovod, potrubí ocelové pozink. DN 40, ochrana</t>
  </si>
  <si>
    <t>Vodovod, potrubí ocelové pozink. DN 50, ochrana</t>
  </si>
  <si>
    <t>ochrana potrubí skruží Mirelon</t>
  </si>
  <si>
    <t>Potrubí z LPE, D 40/6,7 mm</t>
  </si>
  <si>
    <t>Potrubí z LPE, D 63/10,5 mm</t>
  </si>
  <si>
    <t>Montáž rozvodů z plastů polyfúz. svařováním DN 20</t>
  </si>
  <si>
    <t>Montáž rozvodů z plastů polyfúz. svařováním DN 25</t>
  </si>
  <si>
    <t>Montáž rozvodů z plastů polyfúz. svařováním DN 32</t>
  </si>
  <si>
    <t>Montáž rozvodů z plastů polyfúz. svařováním DN 40</t>
  </si>
  <si>
    <t>Montáž rozvodů z plastů polyfúz. svařováním DN 50</t>
  </si>
  <si>
    <t>Montáž rozvodů z plastů polyfúz. svařováním DN 63</t>
  </si>
  <si>
    <t>Izolace návleková  tl. stěny 6 mm vnitřní průměr 22 mm</t>
  </si>
  <si>
    <t>Izolace návleková  tl. stěny 6 mm vnitřní průměr 25 mm</t>
  </si>
  <si>
    <t>Izolace návleková tl. stěny 6 mm vnitřní průměr 32 mm</t>
  </si>
  <si>
    <t>Izolace návleková  tl. stěny 6 mm vnitřní průměr 42 mm</t>
  </si>
  <si>
    <t>Izolace návleková tl. stěny 9 mm vnitřní průměr 52 mm</t>
  </si>
  <si>
    <t>Izolace návleková  tl. stěny 9 mm vnitřní průměr 65 mm</t>
  </si>
  <si>
    <t>Vyvedení a upevnění výpustek DN 15</t>
  </si>
  <si>
    <t>Vyvedení a upevnění výpustek DN 25</t>
  </si>
  <si>
    <t>Nástěnka K 247, pro výtokový ventil G 1/2</t>
  </si>
  <si>
    <t>Nástěnka K 247, pro baterii G 3/4</t>
  </si>
  <si>
    <t>Ventil kulový  na hadici DN 15</t>
  </si>
  <si>
    <t>Kohout kulový vypouštěcí,  DN 20</t>
  </si>
  <si>
    <t>Montáž vodovodních armatur,1závit, G 1/2</t>
  </si>
  <si>
    <t>Montáž vodovodních armatur,1závit, G 3/4</t>
  </si>
  <si>
    <t>Montáž vodovodních armatur,1závit, G 1</t>
  </si>
  <si>
    <t>Montáž vodovodních armatur,1závit, G 5/4</t>
  </si>
  <si>
    <t>Montáž vodovodních armatur,1závit, G 6/4</t>
  </si>
  <si>
    <t>Montáž vodovodních armatur,1závit, G 2</t>
  </si>
  <si>
    <t>Skříň hydrantová s výzbrojí C 52 + nástavec a klíč</t>
  </si>
  <si>
    <t>hadice Pyrotex C52, skříň C52 nerez</t>
  </si>
  <si>
    <t>Zkouška tlaku potrubí závitového DN 50</t>
  </si>
  <si>
    <t>Proplach a dezinfekce vodovod.potrubí DN 80</t>
  </si>
  <si>
    <t>Čerpadlo cirkulační Z20/1</t>
  </si>
  <si>
    <t>Přesun hmot pro vnitřní vodovod, výšky do 24 m</t>
  </si>
  <si>
    <t>Vnitřní plynovod</t>
  </si>
  <si>
    <t>Vodič nn a vn CU Z 4 mm2 uložený volně</t>
  </si>
  <si>
    <t>včetně dodávky vodiče CU Y 4</t>
  </si>
  <si>
    <t>Čištění potrubí profukováním nebo proplach. DN 50</t>
  </si>
  <si>
    <t>Chránička potrubí Fe, délka 0,5 m, 76 x 3,2</t>
  </si>
  <si>
    <t>Koleno ° d  32 mm PE</t>
  </si>
  <si>
    <t>Koleno  d  32 mm PE</t>
  </si>
  <si>
    <t>Teploměr s pevným stonek a jímkou DTR160 mm .</t>
  </si>
  <si>
    <t>Tlakoměr plyn 03313D160 0-600kPa</t>
  </si>
  <si>
    <t>Zdění pilíře pro skříň měření  1200/1200/700</t>
  </si>
  <si>
    <t>z cihel vápenopískových 29/14/6,5</t>
  </si>
  <si>
    <t>Potrubí z LPE, D 40/5,5 mm - plyn</t>
  </si>
  <si>
    <t>Potrubí z LPE, D 50/6,9 mm plyn</t>
  </si>
  <si>
    <t>Objímka na potrubí</t>
  </si>
  <si>
    <t>Položení výstražné folie včetně dodání š 300 m žlutá</t>
  </si>
  <si>
    <t>Revize plynových rozvodů</t>
  </si>
  <si>
    <t>včetně vystavení zprávy</t>
  </si>
  <si>
    <t>D+M držák A na zeď</t>
  </si>
  <si>
    <t>Potrubí ocel. závitové černé šroubované DN 20</t>
  </si>
  <si>
    <t>Potrubí ocel. závitové černé šroubované DN 32</t>
  </si>
  <si>
    <t>Přípojka k plynoměru, závitová bez ochozu G 2</t>
  </si>
  <si>
    <t>Rozpěrka přípojky plynoměru G 2</t>
  </si>
  <si>
    <t>Přípojka plynovodu, trubky závitové černé DN 20</t>
  </si>
  <si>
    <t>Odvzdušnění a napuštění plynového potrubí</t>
  </si>
  <si>
    <t>Zkouška tlaková  plynového potrubí</t>
  </si>
  <si>
    <t>Navaření smyšky kondenzační</t>
  </si>
  <si>
    <t>Montáž armatury přírubové plynovodní, DN 40</t>
  </si>
  <si>
    <t>Kohout tlakový dvojcestný - mosaz</t>
  </si>
  <si>
    <t>Regulátor středotlaký, bez armatur B 25</t>
  </si>
  <si>
    <t>Kohout kulový 1 DN 32</t>
  </si>
  <si>
    <t>Montáž plynovodních armatur, 2 závity, G 3/4</t>
  </si>
  <si>
    <t>Montáž plynovodních armatur, 2 závity, G 1</t>
  </si>
  <si>
    <t>Montáž plynovodních armatur,Lpe D 32</t>
  </si>
  <si>
    <t>Přesun hmot pro vnitřní plynovod, výšky do 24 m</t>
  </si>
  <si>
    <t>Zařizovací předměty</t>
  </si>
  <si>
    <t>Montáž napájecího zdroje</t>
  </si>
  <si>
    <t>Zdroj napájecí</t>
  </si>
  <si>
    <t>Kout sprchov 1/4kruh 80x80xR45 SKKH2/80R45 S</t>
  </si>
  <si>
    <t>Vanička sprch ker čtvrtkruh 800x800 odpad d 60 mm</t>
  </si>
  <si>
    <t>Umyvadlo na šrouby  55 x 42 cm, bílé</t>
  </si>
  <si>
    <t>Výlevka stojící  s plastovou mřížkou</t>
  </si>
  <si>
    <t>Klozet kombi</t>
  </si>
  <si>
    <t>Pisoár  s radarovým splachovačem, SLP 19RS</t>
  </si>
  <si>
    <t>Montáž sprchových mís a vaniček</t>
  </si>
  <si>
    <t>Montáž sprchových koutů</t>
  </si>
  <si>
    <t>Sedátko sklopné bílé</t>
  </si>
  <si>
    <t>Montáž dřezů dvojitých</t>
  </si>
  <si>
    <t>Baterie umyvadlová stoján. ruční, vč. otvír.odpadu</t>
  </si>
  <si>
    <t>základní</t>
  </si>
  <si>
    <t>Baterie umyvadlová nástěnná ruční k výlevce</t>
  </si>
  <si>
    <t>Baterie dřezová nástěnná ruční</t>
  </si>
  <si>
    <t>Baterie sprchová nástěnná ruční, s příslušenství</t>
  </si>
  <si>
    <t>Zápachová uzávěrka  HL136,</t>
  </si>
  <si>
    <t>Sifon dřezový HL100G, DN 40, 50, 6/4"</t>
  </si>
  <si>
    <t>Sifon ke sprchové vaničce PP HL 522, DN 40/50</t>
  </si>
  <si>
    <t>Sifon umyvadlový hranatý chromovaný Raf SV1412</t>
  </si>
  <si>
    <t>Přesun hmot pro zařizovací předměty, výšky do 24 m</t>
  </si>
  <si>
    <t>Kotelny</t>
  </si>
  <si>
    <t>Montáž směšovacího ventilu voda-chlor, DN 15</t>
  </si>
  <si>
    <t>Komín  RS 1100 160/240</t>
  </si>
  <si>
    <t>po fasádě na konzole 2x13 m</t>
  </si>
  <si>
    <t>Ventil 3-cestný směšovací 3c,kv=3,2, DN 15 včetně pohonu</t>
  </si>
  <si>
    <t>Ventil 3-cestný směšovací 3c,kv=8,2,  DN 25 včetně pohinu</t>
  </si>
  <si>
    <t>Ohřívač elek. zásob. závěsný 400l OKC NTR 400</t>
  </si>
  <si>
    <t>HVDT-Tr.89/3,6</t>
  </si>
  <si>
    <t>Odkapní nálevka</t>
  </si>
  <si>
    <t>Pomocný materiál- závěsy , konzole , táhla, spoj.materiál</t>
  </si>
  <si>
    <t>Montáž kotle ocel.teplov.,kapalina/plyn do 52 kW</t>
  </si>
  <si>
    <t>Hadice napouštěcí 1/2"   2*10m</t>
  </si>
  <si>
    <t>Čerpadlo kotlové UPS 25-60</t>
  </si>
  <si>
    <t>Čerpadlo oběhové  25-60</t>
  </si>
  <si>
    <t>Čerpadlo napájecí UPS 25-60</t>
  </si>
  <si>
    <t>Čerpadlo cirkulační UPS 25-40B s časovým spínačem</t>
  </si>
  <si>
    <t>Čerpadlo oběhové 32-60</t>
  </si>
  <si>
    <t>Čerpadlo oběhové UPS 40-50 F 250</t>
  </si>
  <si>
    <t>Automatické doplňování- Reflex 15 , vč. fillset 15 u čerpadla+ 1 do skladu</t>
  </si>
  <si>
    <t>Nádoba expanzní  Reflex NG 80/6 po=110</t>
  </si>
  <si>
    <t>Nádoba expanzní  Reflex NG 140/6 po=110</t>
  </si>
  <si>
    <t>Hzs-zkousky v ramci montaz.praci</t>
  </si>
  <si>
    <t>Topná zkouška a zaregulování</t>
  </si>
  <si>
    <t>Hzs-Koordinace s profesemi</t>
  </si>
  <si>
    <t>Přesun hmot pro kotelny, výšky do 12 m</t>
  </si>
  <si>
    <t>Rozvod potrubí</t>
  </si>
  <si>
    <t>Chránička potrubí Fe, délka 0,5 m, 57 x 2,9</t>
  </si>
  <si>
    <t>Rohož lamelová  tl. 80mm</t>
  </si>
  <si>
    <t>Izolace tepelné těles ploch rovných LSP 1vrstvá</t>
  </si>
  <si>
    <t>Izolace těles - vyplněním prostoru pásy, cpaním</t>
  </si>
  <si>
    <t>Potrubní pouzdra 28/30</t>
  </si>
  <si>
    <t>Potrubní pouzdra  35/30</t>
  </si>
  <si>
    <t>Potrubní pouzdra  42/40</t>
  </si>
  <si>
    <t>Potrubní pouzdra  15,18/20</t>
  </si>
  <si>
    <t>Potrubní pouzdra  22/30</t>
  </si>
  <si>
    <t>Potrubní pouzdra  54/40</t>
  </si>
  <si>
    <t>Potrubní pouzdra  v podlaze 15/13</t>
  </si>
  <si>
    <t>Potrubní pouzdra  v podlaze 18/13</t>
  </si>
  <si>
    <t>Potrubní pouzdra  v podlaze 22/13</t>
  </si>
  <si>
    <t>Potrubní pouzdra  v podlaze 28/13</t>
  </si>
  <si>
    <t>Potrubní pouzdra  v podlaze 25/13</t>
  </si>
  <si>
    <t>Potrubní pouzdra  89/50</t>
  </si>
  <si>
    <t>Odvzdušňovací nádobky z trub.ocelových do DN 54x2</t>
  </si>
  <si>
    <t>Potrubí měděné  10 x 1 mm,</t>
  </si>
  <si>
    <t>Potrubí měděné  15 x 1 mm,</t>
  </si>
  <si>
    <t>Potrubí měděné  18 x 1 mm,</t>
  </si>
  <si>
    <t>Potrubí měděné  22 x 1 mm,</t>
  </si>
  <si>
    <t>Potrubí měděné  28 x 1,5 mm,</t>
  </si>
  <si>
    <t>Potrubí měděné  35 x 1,5 mm,</t>
  </si>
  <si>
    <t>Potrubí měděné  42 x 1,5 mm</t>
  </si>
  <si>
    <t>Potrubí měděné  54 x 2 mm</t>
  </si>
  <si>
    <t>Propojení měděného potrubí d 10x1</t>
  </si>
  <si>
    <t>Propojení měděného potrubí d 15x1</t>
  </si>
  <si>
    <t>Propojení měděného potrubí d 18x1</t>
  </si>
  <si>
    <t>Propojení měděného potrubí d 22x1</t>
  </si>
  <si>
    <t>Propojení měděného potrubí d 28x1,5</t>
  </si>
  <si>
    <t>Propojení měděného potrubí d 35x1,5</t>
  </si>
  <si>
    <t>Propojení měděného potrubí d 42x1,5</t>
  </si>
  <si>
    <t>Propojení měděného potrubí d 54x2</t>
  </si>
  <si>
    <t>Montáž tvar.Cu přechodu ocel/měď  D 25/28x1,5</t>
  </si>
  <si>
    <t>Montáž tvar.Cu přechodu ocel/měď DN 32/42x1,5</t>
  </si>
  <si>
    <t>Tlaková zkouška potrubí  DN 50</t>
  </si>
  <si>
    <t>Manžety prostupové pro trubky do DN 50</t>
  </si>
  <si>
    <t>Přesun hmot pro rozvody potrubí, výšky do 24 m</t>
  </si>
  <si>
    <t>Armatury</t>
  </si>
  <si>
    <t>M22x1</t>
  </si>
  <si>
    <t>Teploměr do potrubí l=60, 0-120°c</t>
  </si>
  <si>
    <t>Kolečko ruční RA</t>
  </si>
  <si>
    <t>Ventil regul.vyvažovací  3/4"</t>
  </si>
  <si>
    <t>Ventil regul. vyvažovací  1"</t>
  </si>
  <si>
    <t>Ventilregul. vyvažovací  5/4"</t>
  </si>
  <si>
    <t>Ventil regul.vyvažovací 6/4"</t>
  </si>
  <si>
    <t>Ventil regul. vyvažovací 2"</t>
  </si>
  <si>
    <t>Kohout kulový  3/4"</t>
  </si>
  <si>
    <t>Kohout kulový  1"</t>
  </si>
  <si>
    <t>Kohout kulový 5/4"</t>
  </si>
  <si>
    <t>Kohout kulový 6/4"</t>
  </si>
  <si>
    <t>Kohout kulový  2"</t>
  </si>
  <si>
    <t>Kohout kulový   1/2"</t>
  </si>
  <si>
    <t>návarek 3/8"</t>
  </si>
  <si>
    <t>Návarek  1/2"</t>
  </si>
  <si>
    <t>Filtr s vnitřními závity  1"</t>
  </si>
  <si>
    <t>Filtr s vnitřními závity 5/4"</t>
  </si>
  <si>
    <t>Filtr s vnitřními závity 6/4"</t>
  </si>
  <si>
    <t>Filtr s vnitřními závity  2"</t>
  </si>
  <si>
    <t>Ventil pojistný zpětná klapka  3/4" PN10</t>
  </si>
  <si>
    <t>Ventil pojistný zpětná klapka  1" PN 10</t>
  </si>
  <si>
    <t>Ventil pojistný zpětná klapka 5/4" PN 10</t>
  </si>
  <si>
    <t>Ventil pojistný zpětná klapka 6/4" PN 10</t>
  </si>
  <si>
    <t>Ventil pojistný zpětná klapka  2" PN 10</t>
  </si>
  <si>
    <t>Ventil tělesa přímý nebo  rohový  DN1/2"</t>
  </si>
  <si>
    <t>Šroubení radiátorové přímé nebo rohové 1/2"</t>
  </si>
  <si>
    <t>Štítky v prof.a graf. včetně dodání</t>
  </si>
  <si>
    <t>Montáž teploměru</t>
  </si>
  <si>
    <t>Montáž armatur závitových,s 1závitem, G 3/8</t>
  </si>
  <si>
    <t>včetně ventilu odvzdušňovacího automatického</t>
  </si>
  <si>
    <t>Montáž armatur  G 1/2</t>
  </si>
  <si>
    <t>Montáž armatur  G 3/4</t>
  </si>
  <si>
    <t>Montáž armatur  G 1</t>
  </si>
  <si>
    <t>Montáž armatur  5/4 "</t>
  </si>
  <si>
    <t>Montáž armatur  6/4"</t>
  </si>
  <si>
    <t>Montáž armatur  2"</t>
  </si>
  <si>
    <t>Šroubení (rozebíratelný spoj) dle dodavatele</t>
  </si>
  <si>
    <t>Hlavice termostatická RAE s aret.Kr</t>
  </si>
  <si>
    <t>Hlavice termostatická RA EK s aret.Kr.</t>
  </si>
  <si>
    <t>Růžice krycí 15 jednotlivá</t>
  </si>
  <si>
    <t>Růžicekrycí dvojitá</t>
  </si>
  <si>
    <t>Tlakoměr 60,0-600</t>
  </si>
  <si>
    <t>Přesun hmot pro armatury, výšky do 24 m</t>
  </si>
  <si>
    <t>Otopná tělesa</t>
  </si>
  <si>
    <t>Otopná tělesa panelová  Klasik 10   900/ 500</t>
  </si>
  <si>
    <t>Otopná tělesa panelová  Klasik 10   900/ 600</t>
  </si>
  <si>
    <t>Otopná tělesa panelová  Klasik 21  900/ 800</t>
  </si>
  <si>
    <t>Otopná tělesa panelová Klasik 22  600/1000</t>
  </si>
  <si>
    <t>Otopná tělesa panelová Klasik 22  600/1200</t>
  </si>
  <si>
    <t>Otopná tělesa panelová  Klasik 22  600/1400</t>
  </si>
  <si>
    <t>Otopná těl.panel. Ventil Kompakt 10  600/ 600</t>
  </si>
  <si>
    <t>Otopná těl.panel.Ventil Kompakt 21  600/ 800</t>
  </si>
  <si>
    <t>Otopná těl.panel.Ventil Kompakt 21  600/1200</t>
  </si>
  <si>
    <t>Otopná těl.panel. Ventil Kompakt 21  600/1400</t>
  </si>
  <si>
    <t>Otopná těl.panel. Ventil Kompakt 21  600/1600</t>
  </si>
  <si>
    <t>Otopná těl.panel. Ventil Kompakt 21  900/ 600</t>
  </si>
  <si>
    <t>Otopná těl.panel. Ventil Kompakt 22  600/ 800</t>
  </si>
  <si>
    <t>Otopná těl.panel.Ventil Kompakt 22  900/ 800</t>
  </si>
  <si>
    <t>Těleso trub.  KL 1200.600</t>
  </si>
  <si>
    <t>Těleso trub.  KL 1830.600</t>
  </si>
  <si>
    <t>Přesun hmot pro otopná tělesa, výšky do 24 m</t>
  </si>
  <si>
    <t>Konstrukce tesařské</t>
  </si>
  <si>
    <t>Příhradový vazník</t>
  </si>
  <si>
    <t>Hoblování viditelných částí krovu třístranné</t>
  </si>
  <si>
    <t>Hoblování viditelných částí krovu čtyřstranné</t>
  </si>
  <si>
    <t>Montáž vázaných krovů pravidelných do 120 cm2</t>
  </si>
  <si>
    <t>včetně dodávky řeziva, fošny 6/10</t>
  </si>
  <si>
    <t>včetně dodávky řeziva, fošny 5/240</t>
  </si>
  <si>
    <t>včetně dodávky hranolů  60/200 mm</t>
  </si>
  <si>
    <t>Montáž vázaných krovů pravidelných do 224 cm2</t>
  </si>
  <si>
    <t>včetně dodávky řeziva, hranoly 12/16</t>
  </si>
  <si>
    <t>Montáž vázaných krovů pravidelných do 288 cm2</t>
  </si>
  <si>
    <t xml:space="preserve">včetně dodávky řeziva, hranoly 14/22
</t>
  </si>
  <si>
    <t>Montáž vázaných krovů pravidelných do 450 cm2</t>
  </si>
  <si>
    <t>včetně dodávky řeziva, hranoly 22/28</t>
  </si>
  <si>
    <t>Laťování střech rozteč 36 cm</t>
  </si>
  <si>
    <t>latě 3 x 5 cm, včetně dodávky řeziva</t>
  </si>
  <si>
    <t>Montáž laťování střech, svislé, vzdálenost 100 cm</t>
  </si>
  <si>
    <t>včetně dodávky řeziva, latě 3/5 cm</t>
  </si>
  <si>
    <t>Montáž záklopu, vrchní na sraz, hoblovaná prkna</t>
  </si>
  <si>
    <t xml:space="preserve">včetně dodávky řeziva, prkna hobl. tl. 24 mm P+D
</t>
  </si>
  <si>
    <t>Impregnace řeziv.tlakovakuová Bochemit FORTE PROFI</t>
  </si>
  <si>
    <t>Montáž střech z vazníků plnostěnných dl. do 18 m</t>
  </si>
  <si>
    <t>Přesun hmot pro tesařské konstrukce, výšky do 24 m</t>
  </si>
  <si>
    <t>Konstrukce klempířské</t>
  </si>
  <si>
    <t>Krytina hladká z Ti Zn tabulí 2 x 1 m, do 45°</t>
  </si>
  <si>
    <t>Lemování zdí z TiZn plechu</t>
  </si>
  <si>
    <t>rš 330 mm</t>
  </si>
  <si>
    <t>Žlab z TiZn plechu podokapní půlkruhový</t>
  </si>
  <si>
    <t>Oplechování parapetů z TiZn plechu</t>
  </si>
  <si>
    <t>rš 330 mm, Rheinzink</t>
  </si>
  <si>
    <t>Oplechování zdí z Ti Zn plechu, rš 600 mm</t>
  </si>
  <si>
    <t>Svod z Ti Zn RHEINZINK, kruhový, D 100 mm</t>
  </si>
  <si>
    <t>Svod z Ti Zn RHEINZINK, kruhový, D 120 mm</t>
  </si>
  <si>
    <t>Koleno z Ti Zn RHEINZINK 72°, kruhové, D 100 mm</t>
  </si>
  <si>
    <t>Koleno z Ti Zn RHEINZINK 72°, kruhové, D 120 mm</t>
  </si>
  <si>
    <t>Přesun hmot pro klempířské konstr., výšky do 24 m</t>
  </si>
  <si>
    <t>Krytina tvrdá</t>
  </si>
  <si>
    <t>Krytina vláknocement. Cembrit, jednoduchá, na latě</t>
  </si>
  <si>
    <t>Protisněhová zábrana A 400,  všech barev</t>
  </si>
  <si>
    <t>Odvětrávací hlavice LG 200,  plast</t>
  </si>
  <si>
    <t>odvětrávací hlavice pro šablony a obdélníky</t>
  </si>
  <si>
    <t>Anténní prostupy AZ 16,  plast</t>
  </si>
  <si>
    <t>Výlez na střechu s povrchovou úpravou</t>
  </si>
  <si>
    <t>Fólie podstřešní paropropustná</t>
  </si>
  <si>
    <t>včetně paropropustné izolace</t>
  </si>
  <si>
    <t>Zábrana parotěsná střech folie PE</t>
  </si>
  <si>
    <t>Přesun hmot pro krytiny tvrdé, výšky do 24 m</t>
  </si>
  <si>
    <t>Konstrukce truhlářské</t>
  </si>
  <si>
    <t>Hranol SM profil 80x120 mm dl. 3 m</t>
  </si>
  <si>
    <t>Okno plastové jednodílné 75 x 40 cm P 15</t>
  </si>
  <si>
    <t>Okno plastové jednodílné 60 x 60 cm P 12</t>
  </si>
  <si>
    <t>Okno plastové jednodílné 60 x 75 cm P 16</t>
  </si>
  <si>
    <t>Okno plastové jednodílné 50 x 100 cm  P2</t>
  </si>
  <si>
    <t>Okno plastové jednodílné 60 x 100 cm P7</t>
  </si>
  <si>
    <t>Okno plastové jednodílné 60 x 150 cm P 13</t>
  </si>
  <si>
    <t>Okno plastové jednodílné 100 x 100 cm  P 5</t>
  </si>
  <si>
    <t>Okno plastové jednodílné 80 x 140 cm P23,</t>
  </si>
  <si>
    <t>Okno plastové jednodílné 100 x 160 cm  P 4</t>
  </si>
  <si>
    <t>Okno plastové jednodílné 100 x 250 cm  P 14</t>
  </si>
  <si>
    <t>Okno plastové jednodílné 125 x 75 cm P6</t>
  </si>
  <si>
    <t>Okno plastové jednodílné 100 x 200 cm  P1</t>
  </si>
  <si>
    <t>Okno plastové 2dílné se sloupkem 75 x 175 cm  P3</t>
  </si>
  <si>
    <t>Okno plastové 3dílné bez sloupku 400 x 120 cm  P9</t>
  </si>
  <si>
    <t>Okno plastové 2dílné bez sloupku 425 x 175 cm P8</t>
  </si>
  <si>
    <t>Okno plast. jednodílné 100 x 400  P 10</t>
  </si>
  <si>
    <t>Okno plast. dělené ve výšce 100x235  P11</t>
  </si>
  <si>
    <t>Okno plast. dělené  P 18 2350x750</t>
  </si>
  <si>
    <t>Dveře vchodové plast  900x2100 otevíravé  P20</t>
  </si>
  <si>
    <t>Palubka podlahová SM tl. 24 mm šíře 146 mm- j. A/B</t>
  </si>
  <si>
    <t>Plastová vnitřní  stěna s nadsvětlíkem a dveřmi  P 22</t>
  </si>
  <si>
    <t>Schody skládací dřevěné zateplené protipožární  T8</t>
  </si>
  <si>
    <t>Montáž skládacích schodů</t>
  </si>
  <si>
    <t>Obložení stěn nad 1 m2 palubkami SM, š. do 10 cm</t>
  </si>
  <si>
    <t>Obklad podhledů deskami z dřevoštěpkové lepené desky</t>
  </si>
  <si>
    <t>včetně desky  tl.25 cm</t>
  </si>
  <si>
    <t>Podkladový rošt pro obložení podhledů</t>
  </si>
  <si>
    <t>Položení dřevěné podlahy  vč. podklad. roštu</t>
  </si>
  <si>
    <t>Montáž oken zdvojených jednokřídlových, do 0,81 m2</t>
  </si>
  <si>
    <t>Montáž oken zdvojených  do 2,10 m2</t>
  </si>
  <si>
    <t>Montáž oken zdvojených  do 4,10 m2</t>
  </si>
  <si>
    <t>Okna komplet.otvíravá do rámů, 4kříd.nad 4,10 m2</t>
  </si>
  <si>
    <t>Okna zdvojená kyvná + sklop.křídlo,4kř.do do 4,80</t>
  </si>
  <si>
    <t>Montáž dveří jednokřídlových šířky 90 cm</t>
  </si>
  <si>
    <t>Montáž dveří a stěn šířky 145 cm P 22</t>
  </si>
  <si>
    <t>Okno plastové dvoukřídlové typové plochy 1,5 m2 - P17</t>
  </si>
  <si>
    <t xml:space="preserve"> P 17 1500x750
</t>
  </si>
  <si>
    <t>Desky parapetní dřevěné dodávka a montáž</t>
  </si>
  <si>
    <t>šířka 30 cm</t>
  </si>
  <si>
    <t>Kuchyňské linky dodávka a montáž</t>
  </si>
  <si>
    <t>linka 5 m včetně spotřebičů</t>
  </si>
  <si>
    <t>Přesun hmot pro truhlářské konstr., výšky do 24 m</t>
  </si>
  <si>
    <t>Konstrukce doplňkové stavební (zámečnické)</t>
  </si>
  <si>
    <t>Tyč průřezu I 160, střední, jakost oceli 11375</t>
  </si>
  <si>
    <t>Ocel široká jakost S235 JRG2  250x15  mm</t>
  </si>
  <si>
    <t>Trubky bezešvé hladké jakost 11353.1  D 102x4,0 mm</t>
  </si>
  <si>
    <t>Trubky bezešvé hladké jakost 11353.1  D 104x5,5 mm</t>
  </si>
  <si>
    <t>Trubky bezešvé hladké jakost 11353.1  D 133x5,0 mm</t>
  </si>
  <si>
    <t>Trubky bezešvé hladké jakost 11353.1  D 140/10 mm</t>
  </si>
  <si>
    <t>Trubka bezešvá hladká 11353.1  D 219x6,3 mm</t>
  </si>
  <si>
    <t>Stěna hliníkovv 2235/2350 RAL,zasklení 1,2 lmin  K9</t>
  </si>
  <si>
    <t>Dveře kov.otočné 746576.1 80x197 P s doz.zámkem</t>
  </si>
  <si>
    <t>Dveře kovové se zámkem FAB 746576.1 110x197 L Hliníkové</t>
  </si>
  <si>
    <t>K2 Sekční vrata 3500/3600 el. pohon</t>
  </si>
  <si>
    <t>K4 Sekční vrata 3300/3600 el.pohon</t>
  </si>
  <si>
    <t>K3 Sekční vrata 3600/3600 el.pohon</t>
  </si>
  <si>
    <t>K1 Sekční vrata 3450/3800 el. pohon</t>
  </si>
  <si>
    <t>Zábradlí ocelové trubkové včetně nátěru  Z1+ Z2</t>
  </si>
  <si>
    <t>Montáž stěn z hliníkových profilů K9</t>
  </si>
  <si>
    <t>pouze montáž, stěna ve specifikaci</t>
  </si>
  <si>
    <t>Montáž zábradlí z profilů na konstrukci do 45 kg</t>
  </si>
  <si>
    <t>Dveře kovové jednokřídlové 80 x 197 cm  K7</t>
  </si>
  <si>
    <t>Dveře kovové jednokřídlové 110 x 197 cm K10</t>
  </si>
  <si>
    <t>Dveře kovové dvoukřídlové 200 x 235 cm K5</t>
  </si>
  <si>
    <t>Dveře protipožární jednokřídlové 80 x 197 cm   T3</t>
  </si>
  <si>
    <t>částečně prosklené PB 30 minut</t>
  </si>
  <si>
    <t>Dveře protipožární jednokřídlové 90 x 197 cm EW-C30DP  T2</t>
  </si>
  <si>
    <t>EW-C30DPmin včetně samozavírače</t>
  </si>
  <si>
    <t>Dveře protipožární dvoukřídlové 145 x 197cm   K8</t>
  </si>
  <si>
    <t>145 x 197 cm, EW-C150P3 + samozavírač</t>
  </si>
  <si>
    <t>Dveře protipožární dvoukřídlové  K 6</t>
  </si>
  <si>
    <t>180 x 235 cm, EW 30 minut + samozavírač</t>
  </si>
  <si>
    <t>Montáž vrat zvedacích, do ocel. konstr., do 13 m2</t>
  </si>
  <si>
    <t>Atypické ocelové konstrukce únikové schodiště  Z3</t>
  </si>
  <si>
    <t>točité schodiště včetně materiálu a nátěrů</t>
  </si>
  <si>
    <t>Atypické ocelové konstrukce  Z4  OS1 a OS2</t>
  </si>
  <si>
    <t>10 - 50 kg/kus</t>
  </si>
  <si>
    <t>Přesun hmot pro zámečnické konstr., výšky do 24 m</t>
  </si>
  <si>
    <t>Podlahy z dlaždic</t>
  </si>
  <si>
    <t>Dlažba matná 300x300x9 mm</t>
  </si>
  <si>
    <t>Dlažba  matná schodovka 300x300x9 mm</t>
  </si>
  <si>
    <t>Dlažba  matná sokl 300x80x9 mm</t>
  </si>
  <si>
    <t>Obklad schodišťových stupňů včetně soklíku</t>
  </si>
  <si>
    <t>do tmele</t>
  </si>
  <si>
    <t>Obklad soklíků keram.rovných, tmel,výška 10 cm</t>
  </si>
  <si>
    <t>Dlažba z dlaždic keramických 30 x 30 cm</t>
  </si>
  <si>
    <t>do tmele, dlažba ve specifikaci</t>
  </si>
  <si>
    <t>Přesun hmot pro podlahy z dlaždic, výšky do 24 m</t>
  </si>
  <si>
    <t>Podlahy povlakové</t>
  </si>
  <si>
    <t>Podlaha povlaková z PVC pásů zátěžových , soklík</t>
  </si>
  <si>
    <t>podlahovina  tloušťky 2,0 mm zátěžová</t>
  </si>
  <si>
    <t>Podlaha povlaková z PVC čtverců, soklík</t>
  </si>
  <si>
    <t>podlahovina antistatiská 610 x 610 x 2,0 mm</t>
  </si>
  <si>
    <t>Přesun hmot pro podlahy povlakové, výšky do 24 m</t>
  </si>
  <si>
    <t>Podlahy ze syntetických hmot</t>
  </si>
  <si>
    <t>Podlahy -samonivelační stěrka zátěžová</t>
  </si>
  <si>
    <t>Vyrovnání podlahy stěrkou  tloušťky 2 mm pod PVC</t>
  </si>
  <si>
    <t>Přesun hmot pro podlahy syntetické, výšky do 24 m</t>
  </si>
  <si>
    <t>Obklady (keramické)</t>
  </si>
  <si>
    <t>Lišta rohová plastová na obklad ukončovací 10 mm</t>
  </si>
  <si>
    <t>Obkládačka Color One 19,8x19,8 bílá lesk</t>
  </si>
  <si>
    <t>Obklad vnitřní stěn keramický, do tmele, 30x30 cm</t>
  </si>
  <si>
    <t>Montáž lišt k obkladům</t>
  </si>
  <si>
    <t>Přesun hmot pro obklady keramické, výšky do 24 m</t>
  </si>
  <si>
    <t>Obklady z přírodního a konglomerovaného kamene</t>
  </si>
  <si>
    <t>Deska obkladová vláknocementová</t>
  </si>
  <si>
    <t>Obklad stěn deska cementovláknitá - fasáda</t>
  </si>
  <si>
    <t>Přesun hmot pro obklady z kamene, výšky do 60 m</t>
  </si>
  <si>
    <t>Nátěry</t>
  </si>
  <si>
    <t>Nátěr žárově pozinkované</t>
  </si>
  <si>
    <t>Nátěr olejový potrubí do DN 50 mm Z +1x +1x email</t>
  </si>
  <si>
    <t>Nátěr olejový potrubí do DN 50 mm základní</t>
  </si>
  <si>
    <t>Nátěr olejový potrubí do DN 100 mm  Z + 2x</t>
  </si>
  <si>
    <t>Nátěr olejový potrubí do DN 150 mm  Z + 2x</t>
  </si>
  <si>
    <t>Nátěr truhlářských výrobků lazurovacím lakem</t>
  </si>
  <si>
    <t>trojnásobný</t>
  </si>
  <si>
    <t>Impregnace tesařských konstrukcí</t>
  </si>
  <si>
    <t>Nátěr omítek stěn omyvatelný</t>
  </si>
  <si>
    <t>Nátěr betonových stropů parotěsný</t>
  </si>
  <si>
    <t>Malby</t>
  </si>
  <si>
    <t>Malba latexová 2x, 1barevná, místnost v. do 5 m</t>
  </si>
  <si>
    <t>Malba disperzní interiérová HET, výška do 3,8 m</t>
  </si>
  <si>
    <t>Potrubí z trub plastických, skleněných a čedičových</t>
  </si>
  <si>
    <t>Trubka PVC kanalizační hladká d 110x3,2x 500mm SN4</t>
  </si>
  <si>
    <t>Trubka PVC kanalizační hladká d110x3,2x1000mm SN4</t>
  </si>
  <si>
    <t>Trubka PVC kanalizační hladká d110x3,2x3000mm SN4</t>
  </si>
  <si>
    <t>Trubka PVC kanalizační hladká d110x3,2x5000mm SN4</t>
  </si>
  <si>
    <t>Trubka PVC kanalizační hladká d125x3,0x 500 mm SN4</t>
  </si>
  <si>
    <t>Trubka PVC kanalizační hladká d125x3,0x1000mm SN4</t>
  </si>
  <si>
    <t>Trubka PVC kanalizační hladká d125x3,0x3000mm SN4</t>
  </si>
  <si>
    <t>Trubka PVC kanalizační hladká d125x3,0x5000mm SN4</t>
  </si>
  <si>
    <t>Tvarovka čisticí s uzávěrem kanalizační D 125 mm</t>
  </si>
  <si>
    <t>Koleno kanalizační KGB 110/ 45° PVC</t>
  </si>
  <si>
    <t>Koleno kanalizační KGB 70/ 67° PVC</t>
  </si>
  <si>
    <t>Koleno kanalizační KGB 110/ 87° PVC</t>
  </si>
  <si>
    <t>Koleno kanalizační KGB 125/ 30° PVC</t>
  </si>
  <si>
    <t>Koleno kanalizační KGB 125/ 45° PVC</t>
  </si>
  <si>
    <t>Koleno kanalizační KGB 125/ 87° PVC</t>
  </si>
  <si>
    <t>Koleno kanalizační KGB 160/ 45° PVC</t>
  </si>
  <si>
    <t>Koleno kanalizační KGB 160/ 87° PVC</t>
  </si>
  <si>
    <t>Koleno kanalizační KGB 200/ 15° PVC</t>
  </si>
  <si>
    <t>Koleno kanalizační KGB 200/ 45° PVC</t>
  </si>
  <si>
    <t>Redukce kanalizační KGR 125/ 110 PVC</t>
  </si>
  <si>
    <t>Redukce kanalizační KGR 160/ 110 PVC</t>
  </si>
  <si>
    <t>Redukce kanalizační KGR 160/ 125 PVC</t>
  </si>
  <si>
    <t>Redukce kanalizační KGR 200/ 160 PVC</t>
  </si>
  <si>
    <t>Odbočka kanalizační KGEA 110/ 110/45° PVC</t>
  </si>
  <si>
    <t>Odbočka kanalizační KGEA 125/ 110/45° PVC</t>
  </si>
  <si>
    <t>Odbočka kanalizační KGEA 160/ 110/45° PVC</t>
  </si>
  <si>
    <t>Odbočka kanalizační KGEA 160/ 125/45° PVC</t>
  </si>
  <si>
    <t>Odbočka kanalizační KGEA 160/ 160/45° PVC</t>
  </si>
  <si>
    <t>Odbočka kanalizační KGEA 200/ 125/45° PVC</t>
  </si>
  <si>
    <t>Odbočka kanalizační KGEA 200/ 160/45° PVC</t>
  </si>
  <si>
    <t>Odbočka kanalizační KGEA 200/ 200/45° PVC</t>
  </si>
  <si>
    <t>Redukce PVC  DN 100/70</t>
  </si>
  <si>
    <t>Lože pod potrubí z kameniva těženého 0 - 4 mm</t>
  </si>
  <si>
    <t>Kladení dren. potrubí bezvýkop.,flex.PVC,s obsypem</t>
  </si>
  <si>
    <t>Montáž trubek z tvrdého PVC ve výkopu d 110 mm</t>
  </si>
  <si>
    <t>Montáž trub z tvrdého PVC, gumový kroužek, DN 125</t>
  </si>
  <si>
    <t>Montáž trub z tvrdého PVC, gumový kroužek, DN 150</t>
  </si>
  <si>
    <t>včetně dodávky trub PVC hrdlových 160x4,0x5000</t>
  </si>
  <si>
    <t>Montáž trub z tvrdého PVC, gumový kroužek, DN 200</t>
  </si>
  <si>
    <t>včetně dodávky trub PVC hrdlových 200x4,9x5000</t>
  </si>
  <si>
    <t>Montáž tvarovek jednoos. z PVC gum. kroužek DN 150 + D110</t>
  </si>
  <si>
    <t>Montáž tvarovek odboč. z PVC gumový kroužek DN 200</t>
  </si>
  <si>
    <t>Montáž tvarovek jednoos. z PVC gum.kroužek DN 200</t>
  </si>
  <si>
    <t>Přesun hmot, trubní vedení plastová, otevř. výkop</t>
  </si>
  <si>
    <t>Ostatní konstrukce a práce na trubním vedení</t>
  </si>
  <si>
    <t>Montáž zemní soupravy pro šoupátka, DN 13 6580</t>
  </si>
  <si>
    <t>Poklop uliční šoupátkový 1750  - voda</t>
  </si>
  <si>
    <t>Šoupátko  DN 50" navrtávací S OSO výstupem</t>
  </si>
  <si>
    <t>Souprava zemní tuhá 9000 DN 65</t>
  </si>
  <si>
    <t>Výsek  a navrtání do šachty betonové</t>
  </si>
  <si>
    <t>Dvoupláštový odlučovač lehkých kapalin prům.1,8 m</t>
  </si>
  <si>
    <t>Dodávka a montáž</t>
  </si>
  <si>
    <t>Montáž vodovodních šoupátek ve výkopu DN 50</t>
  </si>
  <si>
    <t>Šachta z betonových dílců pro DN 200</t>
  </si>
  <si>
    <t xml:space="preserve">výška vstupu 1,6 m - včetně poklopu
</t>
  </si>
  <si>
    <t>výška vstupu 2,1 m včetně poklopu D 400</t>
  </si>
  <si>
    <t>Šachta, DN 425 mm, dl.šach.roury 1,50 m, přímá</t>
  </si>
  <si>
    <t>dno KG DN 200, poklop litina 12,5t</t>
  </si>
  <si>
    <t>Zřízení vpusti uliční z dílců typ UVB - 50</t>
  </si>
  <si>
    <t>včetně dodávky dílců pro uliční vpusti TBV</t>
  </si>
  <si>
    <t>Osazení mříží litinových s rámem nad 150 kg</t>
  </si>
  <si>
    <t>včetně dodávky vtokové mříže s nálevkou</t>
  </si>
  <si>
    <t>Osazení poklopů litinových šoupátkových</t>
  </si>
  <si>
    <t>Doplňující konstrukce a práce na pozemních komunikacích a zpevněných plochách</t>
  </si>
  <si>
    <t>Osazení ležat. obrub. bet. s opěrou, lože z C20/25</t>
  </si>
  <si>
    <t>včetně obrubníku ABO 25 - 6  100/6/25</t>
  </si>
  <si>
    <t>včetně obrubníku ABO 1 - 15 100/15/30</t>
  </si>
  <si>
    <t>Lože pod obrubníky nebo obruby dlažeb z C20/25</t>
  </si>
  <si>
    <t>Lešení a stavební výtahy</t>
  </si>
  <si>
    <t>Montáž lešení leh.řad.s podlahami,š.1,2 m, H 30 m</t>
  </si>
  <si>
    <t>Příplatek za každý měsíc použití lešení k pol.1042</t>
  </si>
  <si>
    <t>Demontáž lešení leh.řad.s podlahami,š.1,2 m,H 30 m</t>
  </si>
  <si>
    <t>Lešení lehké pomocné, výška podlahy do 2,5 m</t>
  </si>
  <si>
    <t>Lešení lehké pomocné,schodiště, H podlahy do 3,5 m</t>
  </si>
  <si>
    <t>Různé dokončovací konstrukce a práce na pozemních stavbách</t>
  </si>
  <si>
    <t>Osazování žebříků s ochranným košem nebo třmeny</t>
  </si>
  <si>
    <t>Úhelník rovnoramenný L jakost 11373 35x35x5 mm</t>
  </si>
  <si>
    <t>Úhelník rovnoramenný L jakost 11373 100x100x8 mm</t>
  </si>
  <si>
    <t>Lišta rohová nerec dl. 2 m</t>
  </si>
  <si>
    <t>Požární žebřík s ochraným kruhovým košem</t>
  </si>
  <si>
    <t>Poklop kanalizace - reviz.šachta   1000x1200 Z5</t>
  </si>
  <si>
    <t>Poklop ocelový sedimentační jímky  1000x700</t>
  </si>
  <si>
    <t>Rohož samočistící  Z10</t>
  </si>
  <si>
    <t>Rošt mřížkový pozink  angli. dvorky Z7+Z8</t>
  </si>
  <si>
    <t>Rošt mřížkový pozink  1000/700  Z6</t>
  </si>
  <si>
    <t>Stupadla vidlicová oceloplastová, při zdění</t>
  </si>
  <si>
    <t>osazovaná při zdění nebo betonáži</t>
  </si>
  <si>
    <t>Vyčištění budov o výšce podlaží do 4 m</t>
  </si>
  <si>
    <t>Osazování poklopů litinových, ocelových do 100 kg</t>
  </si>
  <si>
    <t>Plechy nárožní ochranné  1 x 80 x 1500 mm</t>
  </si>
  <si>
    <t>Osazení železných rohoží s rámy o ploše do 1 m2  Z10</t>
  </si>
  <si>
    <t>Osazení ochranných úhelníků</t>
  </si>
  <si>
    <t>Osazení ocelového rámu velikosti do 1000 x 1000 mm</t>
  </si>
  <si>
    <t>Osazení kovových předmětů do betonu, 120 kg / kus</t>
  </si>
  <si>
    <t>Bourání konstrukcí</t>
  </si>
  <si>
    <t>Rozebrání ploch ze silničních panelů</t>
  </si>
  <si>
    <t>Řezání spáry v asfaltu nebo betonu</t>
  </si>
  <si>
    <t>v tloušťce vrstvy do 8-10 cm</t>
  </si>
  <si>
    <t>Demontáž laťování střech, rozteč latí do 22 cm</t>
  </si>
  <si>
    <t>Demontáž krytiny z AZC čtverců do suti,na laťování</t>
  </si>
  <si>
    <t>Demontáž obložení stěn palubkami</t>
  </si>
  <si>
    <t>Bourání základů z betonu proloženého kamenem</t>
  </si>
  <si>
    <t>Vyvěšení, zavěšení kovových křídel oken pl. 1,5 m2</t>
  </si>
  <si>
    <t>Vybourání kovových rámů oken jednod. pl. 2 m2</t>
  </si>
  <si>
    <t>Vybourání kovových vrat plochy nad 5 m2</t>
  </si>
  <si>
    <t>Vrtání jádrové do ŽB do D 100 mm</t>
  </si>
  <si>
    <t>Vybourání otv. zeď cihel. pl.4 m2, tl.30 cm, MVC</t>
  </si>
  <si>
    <t>Vysekání rýh ve zdi cihelné 10 x 15 cm</t>
  </si>
  <si>
    <t>Vysekání rýh zeď cihelná u stropu 15 x 20 cm</t>
  </si>
  <si>
    <t>Demolice budov, zdivo, podíl konstr. do 20 %, MVC</t>
  </si>
  <si>
    <t>Elektromontáže</t>
  </si>
  <si>
    <t>Podružný materiál</t>
  </si>
  <si>
    <t>Podíl přidružených výkonů</t>
  </si>
  <si>
    <t>Náhradní zdroj dieselagregát 60kVA</t>
  </si>
  <si>
    <t>Náhradní zdroj UPS 7,5kVA 3x2300/400V</t>
  </si>
  <si>
    <t>Trubka tuhá z PVC 16 mm</t>
  </si>
  <si>
    <t>včetně dodávky trubky 16 mm</t>
  </si>
  <si>
    <t>Trubka tuhá z PVC 25 mm</t>
  </si>
  <si>
    <t>včetně dodávky trubky 25 mm</t>
  </si>
  <si>
    <t>Trubka ohebná  16 mm</t>
  </si>
  <si>
    <t>Trubka ohebná  20 mm</t>
  </si>
  <si>
    <t>včetně dodávky trubky 20 mm</t>
  </si>
  <si>
    <t>Trubka ohebná  25 mm</t>
  </si>
  <si>
    <t>Krabice přístrojová KP 68,</t>
  </si>
  <si>
    <t>vč.dodávky KP 68/2, KU 1901+2xšroub</t>
  </si>
  <si>
    <t>Krabice odbočná KO 68</t>
  </si>
  <si>
    <t>včetně dodávky 1902+víčko</t>
  </si>
  <si>
    <t>Krabice odbočná KO 97,</t>
  </si>
  <si>
    <t>včetně dodávky KO 97+víčko</t>
  </si>
  <si>
    <t>Krabice do parapetního žlabuse zapojením</t>
  </si>
  <si>
    <t>včetně dodávky</t>
  </si>
  <si>
    <t>Krabice do vlhka IP 44</t>
  </si>
  <si>
    <t>Včetně dodání</t>
  </si>
  <si>
    <t>Obal protipožární</t>
  </si>
  <si>
    <t>Izolovaný jímač vč.držáků a příslušenství</t>
  </si>
  <si>
    <t>Skříň zásuvková ZS-24V,12V,230V 16A-2x 400V 32A</t>
  </si>
  <si>
    <t>Spínač nástěnný jednopól.- řaz. 1, obyč.prostředí</t>
  </si>
  <si>
    <t>včetně dodávky spínače</t>
  </si>
  <si>
    <t>Spínač nástěnný jednopól.- řaz. 1, IP44</t>
  </si>
  <si>
    <t>včetně dodávky spínače IP44</t>
  </si>
  <si>
    <t>Spínač zapuštěný jednopólový + doutnavka</t>
  </si>
  <si>
    <t>včetně dodávky 3553-21289 sign.doutnavky</t>
  </si>
  <si>
    <t>Vypínače 3f  16A IP 44 vč. dodání</t>
  </si>
  <si>
    <t>Přepínač LTS do rozvaděče</t>
  </si>
  <si>
    <t>včetně dodávky přepínače</t>
  </si>
  <si>
    <t>Zásuvka 230V/16A - dvojití IP 20 a DA barevná</t>
  </si>
  <si>
    <t>včetně dodávky zásuvky</t>
  </si>
  <si>
    <t>Zásuvka 230V/16A IP20 - modul 45 a DA barevná</t>
  </si>
  <si>
    <t>Zásuvka 230V/16A IP20 UPS- modul 45-barevná</t>
  </si>
  <si>
    <t>Zásuvka 230V/16A do vlhka IP44 s označ. DA a UPS</t>
  </si>
  <si>
    <t>Zásuvka 400V/32A 5 pol. IP 44 vč. dodání</t>
  </si>
  <si>
    <t>Montáž odpojovače atyp. k autům 3 m ( konzervace baterie)</t>
  </si>
  <si>
    <t>sporáková přípojka 25A/400V</t>
  </si>
  <si>
    <t>Přepínač střídavý</t>
  </si>
  <si>
    <t>Ovladač  tlačítkový s doutnavkou IP44 vč. dodávky</t>
  </si>
  <si>
    <t>Ovladač  tlačítkový-se signální doutnavkou</t>
  </si>
  <si>
    <t>včetně dodání</t>
  </si>
  <si>
    <t>Ovladač tlačítkový-s orientační doutnavkou</t>
  </si>
  <si>
    <t>Přepínač křížový do vhlka IP 44 vč. dodání</t>
  </si>
  <si>
    <t>Přepínač střídavý do vhlka IP 44 vč. dodání</t>
  </si>
  <si>
    <t>Přepínač dvojitý střídavý</t>
  </si>
  <si>
    <t>Rozvodnice ovláací centrální Rovl</t>
  </si>
  <si>
    <t>Rozvodnice centrální ovládací - vrat vč. dodání</t>
  </si>
  <si>
    <t>Svítidlo DN1-ASMSP258ENA 2x58W strom.mř. +N1přisazené</t>
  </si>
  <si>
    <t>Svítidlo L-ASBE21013258 prachotěsné sv.2x58W, IP65</t>
  </si>
  <si>
    <t>Svítidlo CN1-ASMSP236ENA 2x36W strom.mř. +N1přisazené</t>
  </si>
  <si>
    <t>Svítidlo NOP-ASNOFP80R nouzové sv. 8W/1hSA</t>
  </si>
  <si>
    <t>výstražné+piktogam včetně dodání</t>
  </si>
  <si>
    <t>Svítidlo O-ASMOSVPL118 nad/pod kuch linkou 1x18W</t>
  </si>
  <si>
    <t>Svítidlo P-ASML1872046 nást.max 100W ,E27,IP65</t>
  </si>
  <si>
    <t>Svítidlo Q-ASOS5601 přisaz.2x26W IP43 polykarb.</t>
  </si>
  <si>
    <t>Svítidlo R-ASBE21013218  přisaz.2x18W, IP65 prachotěsné</t>
  </si>
  <si>
    <t>Svítidlo S-ASMSV2418ED vestavěné 4x18W opál.kryt.</t>
  </si>
  <si>
    <t>Svítidlo B-ASMSP158EA 1x58W strom.mř. přisazené</t>
  </si>
  <si>
    <t>Svítidlo BNI-ASMSP158ENA 1x58W strom.mř. přisazené+N1</t>
  </si>
  <si>
    <t>Svítidlo C-ASMSP236EA 2x36W strom.mř. přisazené</t>
  </si>
  <si>
    <t>SvítidloA-ASMSV2418ENA vestavné 4X18 ,strom.mř</t>
  </si>
  <si>
    <t>Svítidlo ANI-ASMSV2418ENA vestavné 4X18 ,strom.mř.+N1</t>
  </si>
  <si>
    <t>Svítidlo E-ASMSP258ED 2x58W opál.kryt</t>
  </si>
  <si>
    <t>Svítidlo F-ASMSO136EA přisazené sv...1x36W strom.mř.</t>
  </si>
  <si>
    <t>Svítidlo G-ASMSP258EC přisazené sv.2x58W par.mř.</t>
  </si>
  <si>
    <t>Svítidlo H-ASAGABN2226B2G8 přisazené sv. 2x26W IP44</t>
  </si>
  <si>
    <t>Svítidlo I-ASBE21013236 prachotěsné sv.2x36W IP 65</t>
  </si>
  <si>
    <t>Svítidlo J-ASBE21013136 prachotěsné sv. 1x36W, IP65</t>
  </si>
  <si>
    <t>Svítidlo K-ASBE21013158 prachotěsné sv. 1x58W, IP 65</t>
  </si>
  <si>
    <t>Svítidlo M-ASLUPS2113 nástěnné 3x40W,E14 II tř.iz.</t>
  </si>
  <si>
    <t>Svítidlo N-ASLUPS3721514 přisazené 2x26W,IP44</t>
  </si>
  <si>
    <t>Svítidlo NN1-ASLUPS3721514 přisazené 2x26W,IP44 +N1</t>
  </si>
  <si>
    <t>Tyč jímací s upev. na stř.hřeben do 3 m, do zdi</t>
  </si>
  <si>
    <t>včetně dodávky tyče JP 20 + 2xdržák DJ 1</t>
  </si>
  <si>
    <t>Svorka hromosvodová do 2 šroubů /SS, SZ, SO/</t>
  </si>
  <si>
    <t>včetně dodávky svorky SO</t>
  </si>
  <si>
    <t>včetně dodávky svorky SS</t>
  </si>
  <si>
    <t>včetně dodávky svorky SZ</t>
  </si>
  <si>
    <t>Svorka hromosvodová nad 2 šrouby /ST, SJ, atd/</t>
  </si>
  <si>
    <t>včetně dodávky svorky SR 02</t>
  </si>
  <si>
    <t>včetně dodávky svorky SR 03</t>
  </si>
  <si>
    <t>včetně dodávky svorky SK</t>
  </si>
  <si>
    <t>včetně dodávky svorky SJ 01</t>
  </si>
  <si>
    <t>včetně dodávky svorky SP1</t>
  </si>
  <si>
    <t>včetně dodávky svorky ST 02</t>
  </si>
  <si>
    <t>Svorka na potrubí Bernard, včetně Cu pásku</t>
  </si>
  <si>
    <t>včetně dodávky svorky + Cu pásku</t>
  </si>
  <si>
    <t>Úhelník ochranný nebo trubka s držáky do zdiva</t>
  </si>
  <si>
    <t>včetně ochran.úhelníku + 2 držáky do zdi</t>
  </si>
  <si>
    <t>Jímač FeZn o8 cca 0,5 m včetně dodání</t>
  </si>
  <si>
    <t>Kabel CYKY  5x6 mm2</t>
  </si>
  <si>
    <t>včetně dodávky kabelu 5Cx6</t>
  </si>
  <si>
    <t>Kabel CYKY  2x1,5 mm2</t>
  </si>
  <si>
    <t>včetně dodávky kabelu 2x1,5</t>
  </si>
  <si>
    <t>Kabel CYKY  3x1,5 mm2</t>
  </si>
  <si>
    <t>včetně dodávky kabelu 3Ox1,5</t>
  </si>
  <si>
    <t>včetně dodávky kabelu 3Cx1,5</t>
  </si>
  <si>
    <t>Kabel CYKY  3x2,5 mm2</t>
  </si>
  <si>
    <t>včetně dodávky kabelu 3Cx2,5</t>
  </si>
  <si>
    <t>Kabel CYKY  4x1,5 mm2</t>
  </si>
  <si>
    <t>včetně dodávky kabelu 4Cx1,5</t>
  </si>
  <si>
    <t>Kabel CYKY  5x1,5 mm2</t>
  </si>
  <si>
    <t>včetně dodávky kabelu 5Cx1,5</t>
  </si>
  <si>
    <t>Kabel CYKY  5x2,5 mm2</t>
  </si>
  <si>
    <t>včetně dodávky kabelu 5Cx2,5</t>
  </si>
  <si>
    <t>Kabel CYKY  5x4 mm2</t>
  </si>
  <si>
    <t>včetně dodávky kabelu 5Cx4</t>
  </si>
  <si>
    <t>Vodič  CY 4 mm2 žl.zel.</t>
  </si>
  <si>
    <t>včetně dodávky vodiče CY 4</t>
  </si>
  <si>
    <t>Vodič  CY 6 mm2  žl.zel.</t>
  </si>
  <si>
    <t>včetně dodávky vodiče CY 6</t>
  </si>
  <si>
    <t>Vodič  CY 16 mm2  žl.zel.</t>
  </si>
  <si>
    <t>včetně dodávky vodiče CY 16</t>
  </si>
  <si>
    <t>Šňůra CMSM 5 x 1,50 mm2</t>
  </si>
  <si>
    <t>včetně dodávky šňůry CMSM 5Cx1,5</t>
  </si>
  <si>
    <t>Šňůra CMSM 3 x 1,50 mm2</t>
  </si>
  <si>
    <t>včetně dodávky šňůry CMSM 3Cx1,5</t>
  </si>
  <si>
    <t>Kabel CYKY 5 x 16 mm2</t>
  </si>
  <si>
    <t>včetně dodávky CYKY 5Cx16</t>
  </si>
  <si>
    <t>Kabel CYKY 5 x 10 mm2</t>
  </si>
  <si>
    <t>včetně dodávky CYKY 5Cx10</t>
  </si>
  <si>
    <t>Kabel CYKY 7 x 1,5 mm2</t>
  </si>
  <si>
    <t>včetně dodávky CYKY 7Cx1.5</t>
  </si>
  <si>
    <t>Kabel CYKY12 x 1,5 mm2</t>
  </si>
  <si>
    <t>včetně dodávky CYKY 12Cx1.5</t>
  </si>
  <si>
    <t>Kabel CYKY- 4 x 50 mm2</t>
  </si>
  <si>
    <t>včetně dodávky CYKY 4x50</t>
  </si>
  <si>
    <t>Kabel JYTY 4x1 mm</t>
  </si>
  <si>
    <t>Přepínač seriový</t>
  </si>
  <si>
    <t>Montáž celoplech.rozvaděče A 1 do zdi</t>
  </si>
  <si>
    <t>Montáž celoplech.rozvaděče A 1 na konstrukci</t>
  </si>
  <si>
    <t>Svorka hl. pospojování</t>
  </si>
  <si>
    <t>Vedení uzemnění na povrchu FeZn drát do 120 mm2</t>
  </si>
  <si>
    <t>včetně drátu 8 mm a 10 mm a podpěrek</t>
  </si>
  <si>
    <t>Vedení uzemnění v zemi FeZN drát D do 10 mm</t>
  </si>
  <si>
    <t>včetně drátu FeZn 8 mm</t>
  </si>
  <si>
    <t>Krabice KR 68 ve zdi včetně vysekání lůžka</t>
  </si>
  <si>
    <t>včetně dodáví KR 68</t>
  </si>
  <si>
    <t>Žlab kabelový MARS 62/ 50 mm vč.tvarovek</t>
  </si>
  <si>
    <t>Žlab kabelový MARS 125/ 50 mm vč.tvarovek</t>
  </si>
  <si>
    <t>Žlab kabelový MARS 125/100 mm vč.tvarovek</t>
  </si>
  <si>
    <t>Žlab kabelový MARS 250/100 mm vč.tvarovek</t>
  </si>
  <si>
    <t>Žlab kabelový PVC 170/90 vč. příslušenství</t>
  </si>
  <si>
    <t>Žlab kabelový PVC 170/90 vč. příslušenství  a kov. přepážky</t>
  </si>
  <si>
    <t>Pásek uzemňovací pozinkovaný 30 x 4 mm</t>
  </si>
  <si>
    <t>Rozvaděč okruhový RG1H</t>
  </si>
  <si>
    <t>Rozvaděč hlavní RHZ</t>
  </si>
  <si>
    <t>Rozvaděč elektroměrový RE</t>
  </si>
  <si>
    <t>Rozvaděč okruhový R-R</t>
  </si>
  <si>
    <t>Rozvaděč okruhový RG2H</t>
  </si>
  <si>
    <t>Rozvaděč okruhový RGZ</t>
  </si>
  <si>
    <t>Hlavní rozvaděč RHH</t>
  </si>
  <si>
    <t>Rozvaděč -RDA - napájení dvou nezávislých zdrojů - náhr. zdroj</t>
  </si>
  <si>
    <t>koordinace ZI,ÚT,VZT,MR,SLP, propojení uzemnění,výchozí revice</t>
  </si>
  <si>
    <t>zakreslení skut, stavu</t>
  </si>
  <si>
    <t>Demontáže rozvodů stáv., pomocné práce,zhotovení pož. prostupů</t>
  </si>
  <si>
    <t>Montáže slaboproudů</t>
  </si>
  <si>
    <t>Trubka ohebná pod omítku, do 20mm</t>
  </si>
  <si>
    <t>včetně dodávky trubky PVC FX 20 mechanická zátěž do 320N</t>
  </si>
  <si>
    <t>Trubka ohebná pod omítku, do 25 mm</t>
  </si>
  <si>
    <t>včetně dodávky trubky PVC FX 25, mechanická zátěž do 320N</t>
  </si>
  <si>
    <t>Trubka ohebná pod omítku, do 50 mm</t>
  </si>
  <si>
    <t>včetně dodávky trubky PVC FX 50, mechanická zátěž do 320N</t>
  </si>
  <si>
    <t>Trubka tuhá z PVC uložená pevně, do 25 mm</t>
  </si>
  <si>
    <t>včetně dodávky trubky  plastové VRM Turbo 25, mech.zátěž do 320N</t>
  </si>
  <si>
    <t>Trubka tuhá z PVC uložená pevně, do 40 mm</t>
  </si>
  <si>
    <t>včetně dodávky trubky plastové VRM Turbo 40, mech.zátěž do 320N</t>
  </si>
  <si>
    <t>Krabice přístrojová KP 68, KZ 3, včetně zapojení</t>
  </si>
  <si>
    <t>vč.dodávky KP 67/2, KU 1901+2xšroub</t>
  </si>
  <si>
    <t>Krabice přístrojová KU 68, včetně zapojení</t>
  </si>
  <si>
    <t>vč.dodávky KU 68-1901+víčko+2xšroub</t>
  </si>
  <si>
    <t>Krabice odbočná KO 125, bez zapojení-čtvercová</t>
  </si>
  <si>
    <t>vč.dodávky KO 125E+víčko</t>
  </si>
  <si>
    <t>Krabice odbočná KR 97, se zapojením-kruhová</t>
  </si>
  <si>
    <t>včetně dodávky KR 97/5 s víkem a svorkovnicí</t>
  </si>
  <si>
    <t>Ucpávka protipožární</t>
  </si>
  <si>
    <t>Protipožární povlak Hilty CP 673 EI60-120
Protipožární ucpávka EI30 do kabel.prostupů</t>
  </si>
  <si>
    <t>Revize slaboproudů</t>
  </si>
  <si>
    <t>Montáž zesilovacího stanice s multipřepínačem</t>
  </si>
  <si>
    <t>Kabel CYKY 3x1,5 mm2</t>
  </si>
  <si>
    <t>včetně dodávky kabelu 3C-Jx1,5</t>
  </si>
  <si>
    <t>Kabel  koaxiální H 121 pro vitřní rozvody</t>
  </si>
  <si>
    <t>Kabel  koaxiální H 125PE vnější rozvody</t>
  </si>
  <si>
    <t>Kabel JYTY 20x1 mm</t>
  </si>
  <si>
    <t>Drobný materiál(svorky,hmoždinky,vruty,sádra..)</t>
  </si>
  <si>
    <t>Kabel FTP cat.5e drát 4 páry</t>
  </si>
  <si>
    <t>kabel datový F/UTP 5E počet vodičů 8-4 páry</t>
  </si>
  <si>
    <t>Montáž ventilační jednotky do RACK</t>
  </si>
  <si>
    <t>vent.j.spodní 220V/60W 4 ventil.termostat RAL 7035</t>
  </si>
  <si>
    <t>Montáž vyvazovací plastové oko pro vertikální vedení kabelu</t>
  </si>
  <si>
    <t>včetně háček kovový 40x40</t>
  </si>
  <si>
    <t>Instalace Patch kabelů</t>
  </si>
  <si>
    <t>Montáž zvukového projektoru na držáku</t>
  </si>
  <si>
    <t>Montáž mikrofonní stanice</t>
  </si>
  <si>
    <t>Montáž dohledových desek</t>
  </si>
  <si>
    <t>Montáž prvků ozvučení do datovené rozvaděče včet.kabel.prop.</t>
  </si>
  <si>
    <t>SW nastavení ozvučení - optimalizace systému</t>
  </si>
  <si>
    <t>Montáž kabelů propojovací</t>
  </si>
  <si>
    <t>Montáž kabelů</t>
  </si>
  <si>
    <t>Likvidace odpadů včetně úklidu staveniště</t>
  </si>
  <si>
    <t>Doprava a mimostaveništní přesuny</t>
  </si>
  <si>
    <t>Kabel UTC cat.5e drát 4 páry</t>
  </si>
  <si>
    <t>Montáž osvětlovací jednotky do RACK</t>
  </si>
  <si>
    <t>Montáž path panelu CAT5e 48xRJ45 se zakončením vodičů</t>
  </si>
  <si>
    <t>Montáž path panelu CAT5E 24xRJ45 se zakončením vodičů</t>
  </si>
  <si>
    <t>Montáž path panelu 25xRJ45 pro telefonii</t>
  </si>
  <si>
    <t>Montáž panelu vázacího s oky</t>
  </si>
  <si>
    <t>Montáž a nastavení SW tabla UDV se zakončením kabelů</t>
  </si>
  <si>
    <t>Úvodní měření</t>
  </si>
  <si>
    <t>Napojení na síť 230Vac</t>
  </si>
  <si>
    <t>Vytýčení trasy vedení</t>
  </si>
  <si>
    <t>Montáž příchytky CL</t>
  </si>
  <si>
    <t>Montáž kolen s napojením na trubky</t>
  </si>
  <si>
    <t>Napojení trubek na rozbočné  a přístrojové krabice</t>
  </si>
  <si>
    <t>Montáž označovacích štítků lsa včetně popisu</t>
  </si>
  <si>
    <t>Montáž datového rozvaděče 19' stojanového s vybavením</t>
  </si>
  <si>
    <t>Montáž telefonního rozvaděče MIS1a/b do 100p.pod omítkou</t>
  </si>
  <si>
    <t>Kontrolní měření na kabelu -přípojného bodu včetně tisku protokolu</t>
  </si>
  <si>
    <t>Měření  signalizace v zásuvce pro všechny programy</t>
  </si>
  <si>
    <t>Uzemnění kabelu v rozvaděči</t>
  </si>
  <si>
    <t>Krabice KT 250 ve zdi v přípraveném lůžku</t>
  </si>
  <si>
    <t>Krabice KU 67 upevněná na povrchu</t>
  </si>
  <si>
    <t>Krabice LK 80 upevněná na povrchu</t>
  </si>
  <si>
    <t>Krabice přístrojová - panelový rozvod</t>
  </si>
  <si>
    <t>Žlab kabelový MARS 62/ 50 mm</t>
  </si>
  <si>
    <t>Kabel SYKFY 10x2x0,5 párovaný</t>
  </si>
  <si>
    <t>Forma kabelová na kabely 10x2 do 0,5 m</t>
  </si>
  <si>
    <t>Zásuvka datová 2 RJ 45 se zakončením vodičů</t>
  </si>
  <si>
    <t>Zásuvka 230 Vac dvojitá povrchová krabice</t>
  </si>
  <si>
    <t>Zásuvka datová 1xRJ45 se zakončením vodičů</t>
  </si>
  <si>
    <t xml:space="preserve">
</t>
  </si>
  <si>
    <t>Zásuvka TV/R/SAT s rámečkem</t>
  </si>
  <si>
    <t>Kontrola kabelového vedení měřením funkčnosti</t>
  </si>
  <si>
    <t>Montáž reproduktoru do podhledu a na závěsu</t>
  </si>
  <si>
    <t>Montáž reproduktoru nástěnného</t>
  </si>
  <si>
    <t>Vyhledávání volného páru vedení</t>
  </si>
  <si>
    <t>Pomocné montážní práce</t>
  </si>
  <si>
    <t>Zaškolení obsluhy</t>
  </si>
  <si>
    <t>Napojení systému  na další zařízení jiných profesí</t>
  </si>
  <si>
    <t>Ukončení přípojného bodu se zakončením konektorů</t>
  </si>
  <si>
    <t>Montáž  panelu napájení 6x230Vac s přep.ochranou</t>
  </si>
  <si>
    <t>Montáž police</t>
  </si>
  <si>
    <t>Revize STA s tištěným protokolem</t>
  </si>
  <si>
    <t>Koordinace  při realizaci  s ostatními profesemi</t>
  </si>
  <si>
    <t>Manžeta izolační s fólií d 56 mm Geberit</t>
  </si>
  <si>
    <t>Příchytka plastová CL 25</t>
  </si>
  <si>
    <t>Příchytka plastová CL 40</t>
  </si>
  <si>
    <t>Koleno  nasouvací PVC SB 25 mm</t>
  </si>
  <si>
    <t>Koleno nasouvací PVC SB 40</t>
  </si>
  <si>
    <t>Montážní sada M6-40 - 50 šroub.podložka,plovoucí matka</t>
  </si>
  <si>
    <t>Kabel VGA/SVGA prodlužovací 15 m , černý</t>
  </si>
  <si>
    <t>Kabel HDMI propojovací 15 m černá</t>
  </si>
  <si>
    <t>Kabel SCY 2x4 transparent</t>
  </si>
  <si>
    <t>Kabel sdělovací s Cu jádrem SYKFY 10 x 2 x 0,5 mm</t>
  </si>
  <si>
    <t>Kryt zásuvky komunikační</t>
  </si>
  <si>
    <t>Rámeček pro elektroinstalační přístroje jednonásobný</t>
  </si>
  <si>
    <t>Krabice přístrojová čtvercová KP 67x67 mm</t>
  </si>
  <si>
    <t>Krabice přístrojová do žlabu</t>
  </si>
  <si>
    <t>Krabice rozvodná s víčkem KT 250</t>
  </si>
  <si>
    <t>Krabice lištová LK 80R/1</t>
  </si>
  <si>
    <t>Výložník anténní oboustraný pro stožár</t>
  </si>
  <si>
    <t>Vertikální zemnící lišta 45U</t>
  </si>
  <si>
    <t>Telefonní rozvaděč MIS 1B do 100.p. ,prázdný se zámkem</t>
  </si>
  <si>
    <t>Rozvaděč stojanový 19' 45U/800x800 skleněné dveře</t>
  </si>
  <si>
    <t>Rozvaděč stojanový 19' 45U/600x800 skleněné dveře</t>
  </si>
  <si>
    <t>Rozvodniceplechová 700x500x200 pro STA se zámkem</t>
  </si>
  <si>
    <t>Zásuvka 230Vac na povrch</t>
  </si>
  <si>
    <t>Zásuvka přístroj TV+R+SAT včetně rámečku</t>
  </si>
  <si>
    <t>Konektor F</t>
  </si>
  <si>
    <t>Stropní reproduktor 9/6W,kulatá kovová mřížka</t>
  </si>
  <si>
    <t>Plochý skříňkový reproduktor 6 W, bílý</t>
  </si>
  <si>
    <t>Polička perforovaná 1U/450 mm, max. nosnost 80 kg</t>
  </si>
  <si>
    <t>Tlakový reproduktor 10W 100V</t>
  </si>
  <si>
    <t>Panel rozvodový 19' 6x220V-3m s vaničkou 1,5U RAL 9005,přepěť. ochrana</t>
  </si>
  <si>
    <t>Zvukový projektor 10/15W, světlešedá barva, plast</t>
  </si>
  <si>
    <t>Plena systémový předzesilovač 6 zón, PC vstup</t>
  </si>
  <si>
    <t>Kartáč pro stojanový rozvaděč, otvor pro kabely 370x90mm</t>
  </si>
  <si>
    <t>Sada koleček 2ks s brzdou a 2 ks bez brzd,max.nosnost sady 800 kg</t>
  </si>
  <si>
    <t>Modul zásuvkový 22,5x45 se zácloukou</t>
  </si>
  <si>
    <t>Reprosouprava černá(bílá) 30W/8 ohm 90dB, 75-2000Hz, konzole</t>
  </si>
  <si>
    <t>Maska nosná se svorkami</t>
  </si>
  <si>
    <t>Data Gate modol 1xRJ45 UTC Cat 5E bílý</t>
  </si>
  <si>
    <t>Modul zásuvkový pro 1xRJ45 černý</t>
  </si>
  <si>
    <t>Modul zásuvkový 22.5x45 se záclonkou</t>
  </si>
  <si>
    <t>Modul zásuvkový pro 2xRJ45 černý</t>
  </si>
  <si>
    <t>Osvětlovací jednotka 19' 1U RAL 7035</t>
  </si>
  <si>
    <t>Výsuvná polička 1U/450 II.nosnost 30 kg</t>
  </si>
  <si>
    <t>Panel PowerCat patch 2U, 48xRJ45,UTC kat5E 568B</t>
  </si>
  <si>
    <t>Patch kabel UTP 2 m,CAT5E,šedý s litou ochranou,2xRJ45,AESP</t>
  </si>
  <si>
    <t>Panel PowerCat patch 1U.24xRJ45,UTC kat.5E.568B</t>
  </si>
  <si>
    <t>Panel Patch osaz.25 pozic 1U CAT3,BK ISDN, telefonní</t>
  </si>
  <si>
    <t>Propojovací kabel PowerCat UTC kat.3, 2 m , barva modrá</t>
  </si>
  <si>
    <t>Propojovací kabel PowerCat UTP kat3,1 metr, barva modrá</t>
  </si>
  <si>
    <t>Propojovací kabel PowecCat UTP kat5E,5 metrů, barva šedá</t>
  </si>
  <si>
    <t>Propojovací kabel PowerCat UTP kat.5E 3 metry, barva šedá</t>
  </si>
  <si>
    <t>Propojovací kabel PowerCat UTP kat.5E, 2 metry, barva šedá</t>
  </si>
  <si>
    <t>Propojovací kabel PowerCat UTP kat.5E, 1 metr, barva šedá</t>
  </si>
  <si>
    <t>Vertikální lišta 45U</t>
  </si>
  <si>
    <t>Vertikální lišta 42U</t>
  </si>
  <si>
    <t>Plena mikrofonní pult, 6 zón, alarmové signály, kabel</t>
  </si>
  <si>
    <t>Plena Voice Alarm- deska koncová impedance vedení</t>
  </si>
  <si>
    <t>Plena booster zesilovač 240W</t>
  </si>
  <si>
    <t>panel vyvazovací 19' 1U oboustranná plastová lišta</t>
  </si>
  <si>
    <t>Nosník LSA PLUS 6 pozicový 22 mm</t>
  </si>
  <si>
    <t>nerez panel připojitelný na Pbú , 2x tlačítko</t>
  </si>
  <si>
    <t>Vent.j.spodní 220V/60W 4 ventil.termostat RAL 7035</t>
  </si>
  <si>
    <t>Zápustná krabice se stříškou pro 1 modul</t>
  </si>
  <si>
    <t>Anténa UHV, kanál 21-69, 16dB</t>
  </si>
  <si>
    <t>Anténa FM,87,5-108MHz, vertikální a horizontální polarizace</t>
  </si>
  <si>
    <t>Offsetová parabola 100cm, materiál AL, vhodná pro příjem z více družic</t>
  </si>
  <si>
    <t>Konvektor Quattro 0,6dB(4 výstupy, 2xH,2xV)</t>
  </si>
  <si>
    <t>Zesilovač 2 vstupy,FM-UHV,G=44 dB,reg. PisPull technologie</t>
  </si>
  <si>
    <t>Multipřepínač 5 x vstup(4xDVB-S+1xDVB-T),8xvýstup</t>
  </si>
  <si>
    <t>Zakončovací odpor 75 ohm, oddělení napájení</t>
  </si>
  <si>
    <t>Kabel U/UTC PawerCAt,cat5E,LHHZ,plášť 4 páry, krabice 205m</t>
  </si>
  <si>
    <t>Kabel U/UTC PawerCAt,cat5E,LHHZ,plášť 4 páry, krabice 305m</t>
  </si>
  <si>
    <t>Sada spojovací( 100xšroubM8x12,100x matice,200xpodložka)</t>
  </si>
  <si>
    <t>Zemnísí pásek + spona</t>
  </si>
  <si>
    <t>Záslepka 62/50</t>
  </si>
  <si>
    <t>Svorkovnice zářezová LSA KRONE rozpojovací</t>
  </si>
  <si>
    <t>Třmen anténní STA na stožár</t>
  </si>
  <si>
    <t>Třmen anténní STA na stožár do 50 mm</t>
  </si>
  <si>
    <t>Frézování drážky  pro uložení chrániček kabelů</t>
  </si>
  <si>
    <t>Multifokální držák universální</t>
  </si>
  <si>
    <t>Držáksatelitní na stožár 30 cm</t>
  </si>
  <si>
    <t>Zdroj 18V/2000mA pro napájení LNB</t>
  </si>
  <si>
    <t>Zdroj napájecí 230V,12V stř./1,5A,4DIN moduly</t>
  </si>
  <si>
    <t>Držák krokvový  ICS 25 d průduchu 100 mm</t>
  </si>
  <si>
    <t>Víko pro T- kus 3x62/50</t>
  </si>
  <si>
    <t>T-kus 3x62/50</t>
  </si>
  <si>
    <t>Žlab kabelový 62/50</t>
  </si>
  <si>
    <t>Víko oblouku 90° V62</t>
  </si>
  <si>
    <t>Víko kolena vnitřního 62/50</t>
  </si>
  <si>
    <t>Víko žlabu 62/50</t>
  </si>
  <si>
    <t>Kabelový oblouk 90° 62/50</t>
  </si>
  <si>
    <t>Koleno vnitřní 62/50</t>
  </si>
  <si>
    <t>Spojka  50</t>
  </si>
  <si>
    <t>Nosník  kabel. žlabu 62</t>
  </si>
  <si>
    <t>Uzávěr víka pružný NPUV 32-GMT</t>
  </si>
  <si>
    <t>Závěs kabelového žlabu  62</t>
  </si>
  <si>
    <t>Vertikální kabelový kanál 45U</t>
  </si>
  <si>
    <t>Vertikální kabelový kanál 42U</t>
  </si>
  <si>
    <t>Kotva narážecí ocelová 10x30</t>
  </si>
  <si>
    <t>Montáže vzduchotechnických zařízení</t>
  </si>
  <si>
    <t>Úhelník rovnoramenný L jakost 11373 60x60x3 mm</t>
  </si>
  <si>
    <t>D+M Venkovní kondenzační jednotka Qch=3,7kW</t>
  </si>
  <si>
    <t>vč. 2xkonzele, celor.proviz,automat.restart při výopadku el.energie 0,8kW, 3,5A, 230V/50Hz</t>
  </si>
  <si>
    <t>D+M Vnitřní nástěnná jednotka Qch=3,7 kW, 1,1 l/h</t>
  </si>
  <si>
    <t>vč. dálkového ovládání</t>
  </si>
  <si>
    <t>Napojení a zprovoznění VZT zařízení</t>
  </si>
  <si>
    <t>D+M Středotlaký radiální ventilátor pro odsáv. výfuk.plynů</t>
  </si>
  <si>
    <t>Vod.=3000m3,Pext=1500Pa, 8,1/4,7A,400V/50Hz</t>
  </si>
  <si>
    <t>Vod=14000m3,Pext=1500Pa,1,5kW,5,7/3,3A,400V/50Hz</t>
  </si>
  <si>
    <t>D+M odsávací jednotka , hor.kolej L-5,9m, flex had. L=3m, D 1160</t>
  </si>
  <si>
    <t>tepl.odol.175°C,vodič24V, včetně transf.a napájení 24V,rych.do 25km/hod,konzole 1m-2m-1m,verti.část s elektromagnetem,L=3m pro vozidla se spodním výfukem</t>
  </si>
  <si>
    <t>D+M odsávací jednotkas autom. odpoj. a zapojením L=10m</t>
  </si>
  <si>
    <t>s flex hadicí d=160mm,tepl.odolnost 175°C,vodič 24V ve ukryt ve spirále hadice, vč.napájení 24V rych. do 15km/hod,hioriz.část s elektromagnetem, pro vozidla s horním výfukem je výškově stavitelná</t>
  </si>
  <si>
    <t>D+M Teplovzduš.přívod.jednotka Vp=3000m3/h, Q=49,12kW</t>
  </si>
  <si>
    <t>0,310kW, 0,76A, 400V/50Hz</t>
  </si>
  <si>
    <t>D+M Teplovzduš.přívod.jednotka Vp=1400m3/h, Q=32kW</t>
  </si>
  <si>
    <t>0,290kW, 0,5A, 400V/50Hz</t>
  </si>
  <si>
    <t>D+M Stěnový radiál.ventilátor Vod=200m3/h, Pc=50 Pa</t>
  </si>
  <si>
    <t>0,073kW,230V/50Hr vč. časového doběhu a zpět.klapky</t>
  </si>
  <si>
    <t>D+M stěnový radiál.ventilátor Vod=230m3/hod, Pc=40Pa</t>
  </si>
  <si>
    <t>0,051kW,230V/50Hr vč. časového doběhu a zpět.klapky</t>
  </si>
  <si>
    <t>D+M Stěnový radiál.ventilátor, Vod=120m3/h, Pc´80Pa</t>
  </si>
  <si>
    <t>0,048kW,230V/50Hr vč. časového doběhu a zpět.klapky</t>
  </si>
  <si>
    <t>D+M Stěnový radiál.ventilárot Vod=80m3/h, Pc=60Pa</t>
  </si>
  <si>
    <t>0,030kW,230V/50Hr vč. časového doběhu a zpět.klapky</t>
  </si>
  <si>
    <t>D+M Chladovod ,vč. lišt.izolace a mont. materiálu</t>
  </si>
  <si>
    <t>D+M Odsávací digestoř kuchyňská</t>
  </si>
  <si>
    <t>zpět.klapka, osvětlení, Vod=300m3/h, 0,300kW,230V/50Hz</t>
  </si>
  <si>
    <t>Hlavice výfuková pr.160 mm</t>
  </si>
  <si>
    <t>Hlavice výfuková zaoblená pr 250, 135°</t>
  </si>
  <si>
    <t>Hlavice výfuková pr.200 mm - tepelně izolovaná</t>
  </si>
  <si>
    <t>Hlavice výfuková pr.355 mm - tepelně izolačná</t>
  </si>
  <si>
    <t>Hlavice výfuková pr. 125 mm</t>
  </si>
  <si>
    <t>Hlavice výfuková pr.100 m</t>
  </si>
  <si>
    <t>Hlavice výfuková pr. 180 mm- tep-izolovaná</t>
  </si>
  <si>
    <t>Hlavice výfuková zaoblená 200x750mm, 135°</t>
  </si>
  <si>
    <t>Klapka zpětná vel. 125</t>
  </si>
  <si>
    <t>Klapka zpětná vel. 250</t>
  </si>
  <si>
    <t>Klapka zpětná vel. 355</t>
  </si>
  <si>
    <t>Mřížka krycí kruhová do zdi velikost 100</t>
  </si>
  <si>
    <t>Žaluzie  samotížná venkovní pr. 315 mm</t>
  </si>
  <si>
    <t>Žaluzie protidešťová do zdi velikost  200x200 mm</t>
  </si>
  <si>
    <t>Žaluzie protidešťová do zdi velikost  500x 560</t>
  </si>
  <si>
    <t>Žaluzie samotížná venkovní 200x200 mm</t>
  </si>
  <si>
    <t>Žaluzie samotížná venkovní 500x560 mm</t>
  </si>
  <si>
    <t>Žaluzie samotížná venkovní 800x500 mm</t>
  </si>
  <si>
    <t>Mřížka krycí pro osazení do zdi vel. 200x 100</t>
  </si>
  <si>
    <t>Mřížka krycí pro osazení do zdi vel. 600x 150</t>
  </si>
  <si>
    <t>Mřížka krycí pro osazení do zdi vel. 700x 150</t>
  </si>
  <si>
    <t>Mřížka krycí pro osazení do zdi vel. 700x 200</t>
  </si>
  <si>
    <t>Mřížka krycí pro osazení do zdi vel. 900x 200</t>
  </si>
  <si>
    <t>Výustka odsávací 225x75 mm</t>
  </si>
  <si>
    <t>Výustka 4hranná 825x325 mm</t>
  </si>
  <si>
    <t>Výustka odsávací 325x75 mm</t>
  </si>
  <si>
    <t>Výustka odsávací 525x75 mm</t>
  </si>
  <si>
    <t>Výustka odsávací 625x75 mm</t>
  </si>
  <si>
    <t>Výustka odsávací 825x75 mm</t>
  </si>
  <si>
    <t>Ventil talířový z termoplastů vel. 125</t>
  </si>
  <si>
    <t>Potrubí ocel. kruhové do d 160 - rovné včet, materiálu</t>
  </si>
  <si>
    <t>Potrubí ocel. kruhové  do d 160-tvarované včetně  materálu</t>
  </si>
  <si>
    <t>Potrubí ocel. kruhové sk. II. vč.materiálu do pr. 125 mm - rovné</t>
  </si>
  <si>
    <t>Potrubí ocel. kruhové sk. II. vč. mont.materiálu do pr. 125 mm - tvar.</t>
  </si>
  <si>
    <t>Potrubí kruhové  do pr. 250 rovné</t>
  </si>
  <si>
    <t>Potrubí kruhové do pr. 250 mm - tvarované</t>
  </si>
  <si>
    <t>Potrubí kruhové sk.včetně materálu   d 315 - rovné</t>
  </si>
  <si>
    <t>Díl potrubí 4hran. sk. III. obv. 600 mm /0%</t>
  </si>
  <si>
    <t>Díl potrubí 4hran. sk. I obv. 800</t>
  </si>
  <si>
    <t>Díl potrubí 4hran. do obv. 1200 mm/30%</t>
  </si>
  <si>
    <t>Díl potrubí 4hran.  do obv. 1500 mm</t>
  </si>
  <si>
    <t>Díl potrubí 4hran.  obv. 2000</t>
  </si>
  <si>
    <t>Díl potrubí 4hran. sk. I obv. 2200/30% vč. materiálu</t>
  </si>
  <si>
    <t>Klapka regulační   pr. 160 mm</t>
  </si>
  <si>
    <t>Tlumič hluku   pr 125 mm dl. 06m</t>
  </si>
  <si>
    <t>Tlumič hluku   750x400/1,7m vč.tl.kulisa 200x390/1,5m -2ks</t>
  </si>
  <si>
    <t>Tlumič hluku  pr 250 mm dl. 0,9 m</t>
  </si>
  <si>
    <t>Tlumič hluku   750x400/1,2m vč.tl.kulisa 200x390/1,0m-2ks</t>
  </si>
  <si>
    <t>Tlumič hluku  800x500 mm, dl. 1 m</t>
  </si>
  <si>
    <t>Tlumič hluku  pr 355 mm dl. 0,9 m</t>
  </si>
  <si>
    <t>Potrubní zvukově izolovaný ventilátor vč.tl.manžety pr.125 mm-2ks</t>
  </si>
  <si>
    <t>Vod=235m3/h Pc=2400Pa, 0,096kW,0,43A, 230V/50Hz</t>
  </si>
  <si>
    <t>Potrubní ventilátor vč.manžety-2ks,Vod.4000m3/h,Pc=180Pa</t>
  </si>
  <si>
    <t>1,34kW,2,84A,400V/50Hz, regul.otáček,dálkový ovladač,proudový chránič</t>
  </si>
  <si>
    <t>Potrubní zvukový ventilátor vč. manžety pr. 355 mm - 2ks</t>
  </si>
  <si>
    <t>Vod=965m3/h Pc=270Pa, 0275kW,1,2A, 230V/50Hz</t>
  </si>
  <si>
    <t>Potrubní zvukově izoloaný ventilátor vč.tl.manžety pr 250mm - 2 ks</t>
  </si>
  <si>
    <t>Vod=800m3/h Pc=270Pa, 0245kW,1,3A, 230V/50Hz</t>
  </si>
  <si>
    <t>Ventilátor axiální stěnový Vod=280m3/h Pc=50Pa</t>
  </si>
  <si>
    <t>0,040kW, 0,21A, 230V/50Hz</t>
  </si>
  <si>
    <t>Hadice ohebná pro odsávaní výfuk plynů pr. 160 mm</t>
  </si>
  <si>
    <t>Izolace požární EI30</t>
  </si>
  <si>
    <t>Izolace ohybů oplechováním otvorů Pz plechem tl 4 cm</t>
  </si>
  <si>
    <t xml:space="preserve">včetně dodání izoläce a plechu
</t>
  </si>
  <si>
    <t>Hzs-zprovoznění VZT zařízení</t>
  </si>
  <si>
    <t>Hzs-revize provoz.souboru a st.obj.</t>
  </si>
  <si>
    <t>Revize</t>
  </si>
  <si>
    <t>Lešení lehké pomocné, výška podlahy do 1,9 m</t>
  </si>
  <si>
    <t>Stlačený vzduch</t>
  </si>
  <si>
    <t>Závěry, koncovky, rozvodů místní sítě HZS</t>
  </si>
  <si>
    <t>včetně materálů</t>
  </si>
  <si>
    <t>Spojka s vnitřním závitem - rychlospojka -20x1/2"</t>
  </si>
  <si>
    <t>D+M Kompresor SKS 28/250, nádoba 250l/10bar přík. 4kW/400V</t>
  </si>
  <si>
    <t>Ventil regulační  z 10/4bar</t>
  </si>
  <si>
    <t>Kohout uzávěr vzduch 1/2"</t>
  </si>
  <si>
    <t>Štítky orientační na zeď</t>
  </si>
  <si>
    <t>Hadice pružná napojení</t>
  </si>
  <si>
    <t>Demontáž potrubí ocelového závitového do DN 15</t>
  </si>
  <si>
    <t>Potrubí závitové bezešvé běžné nízkotlaké DN 10</t>
  </si>
  <si>
    <t>Potrubí závitové bezešvé běžné nízkotlaké DN 25</t>
  </si>
  <si>
    <t>Příplatek za zhotovení přípojky DN 10</t>
  </si>
  <si>
    <t>Příplatek za zhotovení přípojky DN 15 T ks</t>
  </si>
  <si>
    <t>Nátěr OK lehkých "C" syntetický</t>
  </si>
  <si>
    <t>dvojnásobný krycí s 1x emailováním</t>
  </si>
  <si>
    <t>Nátěr olejový potrubí do DN 50 mm  Z + 2x</t>
  </si>
  <si>
    <t>Nátěr olejový potrubí do DN 50 mm Z +2x +1x email</t>
  </si>
  <si>
    <t>HZS - stavební práce- zednické výpomoce</t>
  </si>
  <si>
    <t>stavební dělník v tarifní třídě 7</t>
  </si>
  <si>
    <t>Hzs - koordinace s profesemi</t>
  </si>
  <si>
    <t>Hzs-profuk do 50 - 90 m</t>
  </si>
  <si>
    <t>Přesuny sutí</t>
  </si>
  <si>
    <t>Odvoz suti a vybour. hmot na skládku do 1 km</t>
  </si>
  <si>
    <t>Příplatek k odvozu za každý další 1 km - kalších 9 km</t>
  </si>
  <si>
    <t>Nakládání suti na dopravní prostředky</t>
  </si>
  <si>
    <t>Uložení suti na skládku bez zhutnění</t>
  </si>
  <si>
    <t>Poplatek za skládku stavební suti</t>
  </si>
  <si>
    <t>Poplatek za skládku suti -azbestocementové výrobky</t>
  </si>
  <si>
    <t>Doba výstavby:</t>
  </si>
  <si>
    <t>Začátek výstavby:</t>
  </si>
  <si>
    <t>Konec výstavby:</t>
  </si>
  <si>
    <t>Zpracováno dne:</t>
  </si>
  <si>
    <t>M.j.</t>
  </si>
  <si>
    <t>m</t>
  </si>
  <si>
    <t>kus</t>
  </si>
  <si>
    <t>kpl</t>
  </si>
  <si>
    <t>m3</t>
  </si>
  <si>
    <t>m2</t>
  </si>
  <si>
    <t>t</t>
  </si>
  <si>
    <t>T</t>
  </si>
  <si>
    <t>pár</t>
  </si>
  <si>
    <t>soubor</t>
  </si>
  <si>
    <t>ks</t>
  </si>
  <si>
    <t>h</t>
  </si>
  <si>
    <t>kg</t>
  </si>
  <si>
    <t>ku</t>
  </si>
  <si>
    <t>%</t>
  </si>
  <si>
    <t>sada</t>
  </si>
  <si>
    <t>lus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</si>
  <si>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</si>
  <si>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</si>
  <si>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</si>
  <si>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</si>
  <si>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</si>
  <si>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</si>
  <si>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</si>
  <si>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</si>
  <si>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</si>
  <si>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</si>
  <si>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</si>
  <si>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Městys Frymburk, Náměstí 78, Frymburk</t>
  </si>
  <si>
    <t>APM-CB s.r.o. Karla Buriana 2 České Budějovice</t>
  </si>
  <si>
    <t>Votavová Ludmila</t>
  </si>
  <si>
    <t>Celkem</t>
  </si>
  <si>
    <t>Hmotnost (t)</t>
  </si>
  <si>
    <t>Přesuny</t>
  </si>
  <si>
    <t>Typ skupiny</t>
  </si>
  <si>
    <t>HS</t>
  </si>
  <si>
    <t>PS</t>
  </si>
  <si>
    <t>MP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</si>
  <si>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</si>
  <si>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</si>
  <si>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</si>
  <si>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</si>
  <si>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</si>
  <si>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</si>
  <si>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</si>
  <si>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</si>
  <si>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Zkrácený popis</t>
  </si>
  <si>
    <t>F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</si>
  <si>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</si>
  <si>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</si>
  <si>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</si>
  <si>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</si>
  <si>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</si>
  <si>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</si>
  <si>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</si>
  <si>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</si>
  <si>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</si>
  <si>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</si>
  <si>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14%</t>
  </si>
  <si>
    <t>Základ 20%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</si>
  <si>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</si>
  <si>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</si>
  <si>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</si>
  <si>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</si>
  <si>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</si>
  <si>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</si>
  <si>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</si>
  <si>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</si>
  <si>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</si>
  <si>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14%</t>
  </si>
  <si>
    <t>DPH 20%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</si>
  <si>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</si>
  <si>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</si>
  <si>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</si>
  <si>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</si>
  <si>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</si>
  <si>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</si>
  <si>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</si>
  <si>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</si>
  <si>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</si>
  <si>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</si>
  <si>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</si>
  <si>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</si>
  <si>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</si>
  <si>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</si>
  <si>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</si>
  <si>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</si>
  <si>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</si>
  <si>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Kotel 200W 12,2-49kW,spalivová kaskáda,sběrač spalin2x,</t>
  </si>
  <si>
    <t>regul.venkovní čidlo2x.dálk.ovlídání k směč.</t>
  </si>
  <si>
    <t>okruhu1x směš.okruh,1xpřímý,TUV a kaskáda 2 kotlů,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</si>
</sst>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1"/>
      <name val="Arial"/>
      <family val="2"/>
    </font>
    <font>
      <sz val="8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1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6" fillId="33" borderId="35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 applyProtection="1">
      <alignment horizontal="left" vertical="center"/>
      <protection/>
    </xf>
    <xf numFmtId="49" fontId="7" fillId="0" borderId="37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7" fillId="33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8" fillId="0" borderId="40" xfId="0" applyNumberFormat="1" applyFont="1" applyFill="1" applyBorder="1" applyAlignment="1" applyProtection="1">
      <alignment horizontal="left"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49" fontId="8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42" xfId="0" applyNumberFormat="1" applyFont="1" applyFill="1" applyBorder="1" applyAlignment="1" applyProtection="1">
      <alignment horizontal="left" vertical="center"/>
      <protection/>
    </xf>
    <xf numFmtId="0" fontId="7" fillId="33" borderId="34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left" vertical="center"/>
      <protection/>
    </xf>
    <xf numFmtId="0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31" xfId="0" applyNumberFormat="1" applyFont="1" applyFill="1" applyBorder="1" applyAlignment="1" applyProtection="1">
      <alignment horizontal="left" vertical="center"/>
      <protection/>
    </xf>
    <xf numFmtId="49" fontId="8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8" fillId="0" borderId="35" xfId="0" applyNumberFormat="1" applyFont="1" applyFill="1" applyBorder="1" applyAlignment="1" applyProtection="1">
      <alignment horizontal="right" vertical="center"/>
      <protection/>
    </xf>
    <xf numFmtId="49" fontId="8" fillId="0" borderId="35" xfId="0" applyNumberFormat="1" applyFont="1" applyFill="1" applyBorder="1" applyAlignment="1" applyProtection="1">
      <alignment horizontal="righ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14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" fontId="7" fillId="33" borderId="42" xfId="0" applyNumberFormat="1" applyFont="1" applyFill="1" applyBorder="1" applyAlignment="1" applyProtection="1">
      <alignment horizontal="right" vertical="center"/>
      <protection/>
    </xf>
    <xf numFmtId="49" fontId="27" fillId="0" borderId="11" xfId="0" applyNumberFormat="1" applyFont="1" applyFill="1" applyBorder="1" applyAlignment="1" applyProtection="1">
      <alignment horizontal="left" vertical="center"/>
      <protection/>
    </xf>
    <xf numFmtId="0" fontId="27" fillId="0" borderId="14" xfId="0" applyNumberFormat="1" applyFont="1" applyFill="1" applyBorder="1" applyAlignment="1" applyProtection="1">
      <alignment horizontal="left" vertical="center"/>
      <protection/>
    </xf>
    <xf numFmtId="49" fontId="28" fillId="0" borderId="14" xfId="0" applyNumberFormat="1" applyFont="1" applyFill="1" applyBorder="1" applyAlignment="1" applyProtection="1">
      <alignment horizontal="left" vertical="center"/>
      <protection/>
    </xf>
    <xf numFmtId="49" fontId="27" fillId="0" borderId="14" xfId="0" applyNumberFormat="1" applyFont="1" applyFill="1" applyBorder="1" applyAlignment="1" applyProtection="1">
      <alignment horizontal="left" vertical="center"/>
      <protection/>
    </xf>
    <xf numFmtId="0" fontId="27" fillId="0" borderId="24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 vertical="center"/>
    </xf>
    <xf numFmtId="0" fontId="27" fillId="0" borderId="12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25" xfId="0" applyNumberFormat="1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14" fontId="27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horizontal="left" vertical="center"/>
      <protection/>
    </xf>
    <xf numFmtId="0" fontId="27" fillId="0" borderId="15" xfId="0" applyNumberFormat="1" applyFont="1" applyFill="1" applyBorder="1" applyAlignment="1" applyProtection="1">
      <alignment horizontal="left" vertical="center"/>
      <protection/>
    </xf>
    <xf numFmtId="0" fontId="27" fillId="0" borderId="26" xfId="0" applyNumberFormat="1" applyFont="1" applyFill="1" applyBorder="1" applyAlignment="1" applyProtection="1">
      <alignment horizontal="left" vertical="center"/>
      <protection/>
    </xf>
    <xf numFmtId="49" fontId="27" fillId="0" borderId="45" xfId="0" applyNumberFormat="1" applyFont="1" applyFill="1" applyBorder="1" applyAlignment="1" applyProtection="1">
      <alignment horizontal="left" vertical="center"/>
      <protection/>
    </xf>
    <xf numFmtId="49" fontId="27" fillId="0" borderId="16" xfId="0" applyNumberFormat="1" applyFont="1" applyFill="1" applyBorder="1" applyAlignment="1" applyProtection="1">
      <alignment horizontal="left" vertical="center"/>
      <protection/>
    </xf>
    <xf numFmtId="49" fontId="28" fillId="0" borderId="46" xfId="0" applyNumberFormat="1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center" vertical="center"/>
      <protection/>
    </xf>
    <xf numFmtId="0" fontId="28" fillId="0" borderId="20" xfId="0" applyNumberFormat="1" applyFont="1" applyFill="1" applyBorder="1" applyAlignment="1" applyProtection="1">
      <alignment horizontal="center" vertical="center"/>
      <protection/>
    </xf>
    <xf numFmtId="0" fontId="28" fillId="0" borderId="22" xfId="0" applyNumberFormat="1" applyFont="1" applyFill="1" applyBorder="1" applyAlignment="1" applyProtection="1">
      <alignment horizontal="center" vertical="center"/>
      <protection/>
    </xf>
    <xf numFmtId="49" fontId="28" fillId="0" borderId="47" xfId="0" applyNumberFormat="1" applyFont="1" applyFill="1" applyBorder="1" applyAlignment="1" applyProtection="1">
      <alignment horizontal="left" vertical="center"/>
      <protection/>
    </xf>
    <xf numFmtId="49" fontId="28" fillId="0" borderId="17" xfId="0" applyNumberFormat="1" applyFont="1" applyFill="1" applyBorder="1" applyAlignment="1" applyProtection="1">
      <alignment horizontal="left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49" fontId="28" fillId="0" borderId="48" xfId="0" applyNumberFormat="1" applyFont="1" applyFill="1" applyBorder="1" applyAlignment="1" applyProtection="1">
      <alignment horizontal="right" vertical="center"/>
      <protection/>
    </xf>
    <xf numFmtId="49" fontId="28" fillId="0" borderId="19" xfId="0" applyNumberFormat="1" applyFont="1" applyFill="1" applyBorder="1" applyAlignment="1" applyProtection="1">
      <alignment horizontal="center" vertical="center"/>
      <protection/>
    </xf>
    <xf numFmtId="49" fontId="28" fillId="0" borderId="21" xfId="0" applyNumberFormat="1" applyFont="1" applyFill="1" applyBorder="1" applyAlignment="1" applyProtection="1">
      <alignment horizontal="center" vertical="center"/>
      <protection/>
    </xf>
    <xf numFmtId="49" fontId="28" fillId="0" borderId="23" xfId="0" applyNumberFormat="1" applyFont="1" applyFill="1" applyBorder="1" applyAlignment="1" applyProtection="1">
      <alignment horizontal="center" vertical="center"/>
      <protection/>
    </xf>
    <xf numFmtId="49" fontId="28" fillId="33" borderId="0" xfId="0" applyNumberFormat="1" applyFont="1" applyFill="1" applyBorder="1" applyAlignment="1" applyProtection="1">
      <alignment horizontal="right" vertical="center"/>
      <protection/>
    </xf>
    <xf numFmtId="49" fontId="27" fillId="33" borderId="28" xfId="0" applyNumberFormat="1" applyFont="1" applyFill="1" applyBorder="1" applyAlignment="1" applyProtection="1">
      <alignment horizontal="left" vertical="center"/>
      <protection/>
    </xf>
    <xf numFmtId="49" fontId="28" fillId="33" borderId="28" xfId="0" applyNumberFormat="1" applyFont="1" applyFill="1" applyBorder="1" applyAlignment="1" applyProtection="1">
      <alignment horizontal="left" vertical="center"/>
      <protection/>
    </xf>
    <xf numFmtId="49" fontId="28" fillId="33" borderId="28" xfId="0" applyNumberFormat="1" applyFont="1" applyFill="1" applyBorder="1" applyAlignment="1" applyProtection="1">
      <alignment horizontal="left" vertical="center"/>
      <protection/>
    </xf>
    <xf numFmtId="0" fontId="28" fillId="33" borderId="28" xfId="0" applyNumberFormat="1" applyFont="1" applyFill="1" applyBorder="1" applyAlignment="1" applyProtection="1">
      <alignment horizontal="left" vertical="center"/>
      <protection/>
    </xf>
    <xf numFmtId="4" fontId="28" fillId="33" borderId="28" xfId="0" applyNumberFormat="1" applyFont="1" applyFill="1" applyBorder="1" applyAlignment="1" applyProtection="1">
      <alignment horizontal="right" vertical="center"/>
      <protection/>
    </xf>
    <xf numFmtId="49" fontId="28" fillId="33" borderId="28" xfId="0" applyNumberFormat="1" applyFont="1" applyFill="1" applyBorder="1" applyAlignment="1" applyProtection="1">
      <alignment horizontal="right" vertical="center"/>
      <protection/>
    </xf>
    <xf numFmtId="4" fontId="28" fillId="33" borderId="0" xfId="0" applyNumberFormat="1" applyFont="1" applyFill="1" applyBorder="1" applyAlignment="1" applyProtection="1">
      <alignment horizontal="right" vertical="center"/>
      <protection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4" fontId="29" fillId="0" borderId="0" xfId="0" applyNumberFormat="1" applyFont="1" applyFill="1" applyBorder="1" applyAlignment="1" applyProtection="1">
      <alignment horizontal="right" vertical="center"/>
      <protection/>
    </xf>
    <xf numFmtId="49" fontId="29" fillId="0" borderId="0" xfId="0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49" fontId="27" fillId="33" borderId="0" xfId="0" applyNumberFormat="1" applyFont="1" applyFill="1" applyBorder="1" applyAlignment="1" applyProtection="1">
      <alignment horizontal="left" vertical="center"/>
      <protection/>
    </xf>
    <xf numFmtId="49" fontId="28" fillId="33" borderId="0" xfId="0" applyNumberFormat="1" applyFont="1" applyFill="1" applyBorder="1" applyAlignment="1" applyProtection="1">
      <alignment horizontal="left" vertical="center"/>
      <protection/>
    </xf>
    <xf numFmtId="49" fontId="28" fillId="33" borderId="0" xfId="0" applyNumberFormat="1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4" fontId="30" fillId="0" borderId="0" xfId="0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Fill="1" applyBorder="1" applyAlignment="1" applyProtection="1">
      <alignment horizontal="right" vertical="center"/>
      <protection/>
    </xf>
    <xf numFmtId="49" fontId="29" fillId="0" borderId="10" xfId="0" applyNumberFormat="1" applyFont="1" applyFill="1" applyBorder="1" applyAlignment="1" applyProtection="1">
      <alignment horizontal="left" vertical="center"/>
      <protection/>
    </xf>
    <xf numFmtId="4" fontId="29" fillId="0" borderId="10" xfId="0" applyNumberFormat="1" applyFont="1" applyFill="1" applyBorder="1" applyAlignment="1" applyProtection="1">
      <alignment horizontal="right"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8" fillId="0" borderId="14" xfId="0" applyNumberFormat="1" applyFont="1" applyFill="1" applyBorder="1" applyAlignment="1" applyProtection="1">
      <alignment horizontal="left" vertical="center"/>
      <protection/>
    </xf>
    <xf numFmtId="4" fontId="28" fillId="0" borderId="14" xfId="0" applyNumberFormat="1" applyFont="1" applyFill="1" applyBorder="1" applyAlignment="1" applyProtection="1">
      <alignment horizontal="right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Chybně" xfId="37"/>
    <cellStyle name="Kontrolní buňka" xfId="38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06"/>
  <sheetViews>
    <sheetView zoomScale="93" zoomScaleNormal="93" zoomScalePageLayoutView="0" workbookViewId="0" topLeftCell="A1373">
      <selection activeCell="F1404" sqref="F1404"/>
    </sheetView>
  </sheetViews>
  <sheetFormatPr defaultColWidth="11.421875" defaultRowHeight="12.75"/>
  <cols>
    <col min="1" max="1" width="5.57421875" style="0" customWidth="1"/>
    <col min="2" max="2" width="12.140625" style="0" customWidth="1"/>
    <col min="3" max="3" width="55.00390625" style="0" customWidth="1"/>
    <col min="4" max="4" width="3.421875" style="0" customWidth="1"/>
    <col min="5" max="5" width="9.28125" style="0" customWidth="1"/>
    <col min="6" max="6" width="9.7109375" style="0" customWidth="1"/>
    <col min="7" max="7" width="10.421875" style="0" customWidth="1"/>
    <col min="8" max="8" width="12.00390625" style="0" customWidth="1"/>
    <col min="9" max="9" width="11.7109375" style="0" customWidth="1"/>
    <col min="10" max="10" width="8.28125" style="0" customWidth="1"/>
    <col min="11" max="11" width="9.140625" style="0" customWidth="1"/>
    <col min="12" max="12" width="11.421875" style="0" customWidth="1"/>
    <col min="13" max="36" width="12.140625" style="0" hidden="1" customWidth="1"/>
  </cols>
  <sheetData>
    <row r="1" spans="1:12" ht="21.7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40"/>
    </row>
    <row r="2" spans="1:12" s="90" customFormat="1" ht="11.25">
      <c r="A2" s="85" t="s">
        <v>1</v>
      </c>
      <c r="B2" s="86"/>
      <c r="C2" s="87" t="s">
        <v>2149</v>
      </c>
      <c r="D2" s="88" t="s">
        <v>3450</v>
      </c>
      <c r="E2" s="86"/>
      <c r="F2" s="88"/>
      <c r="G2" s="86"/>
      <c r="H2" s="88" t="s">
        <v>3477</v>
      </c>
      <c r="I2" s="88" t="s">
        <v>3482</v>
      </c>
      <c r="J2" s="86"/>
      <c r="K2" s="89"/>
      <c r="L2" s="141"/>
    </row>
    <row r="3" spans="1:12" s="90" customFormat="1" ht="11.25">
      <c r="A3" s="91"/>
      <c r="B3" s="92"/>
      <c r="C3" s="93"/>
      <c r="D3" s="92"/>
      <c r="E3" s="92"/>
      <c r="F3" s="92"/>
      <c r="G3" s="92"/>
      <c r="H3" s="92"/>
      <c r="I3" s="92"/>
      <c r="J3" s="92"/>
      <c r="K3" s="94"/>
      <c r="L3" s="141"/>
    </row>
    <row r="4" spans="1:12" s="90" customFormat="1" ht="11.25">
      <c r="A4" s="95" t="s">
        <v>2</v>
      </c>
      <c r="B4" s="92"/>
      <c r="C4" s="96" t="s">
        <v>2150</v>
      </c>
      <c r="D4" s="96" t="s">
        <v>3451</v>
      </c>
      <c r="E4" s="92"/>
      <c r="F4" s="97"/>
      <c r="G4" s="92"/>
      <c r="H4" s="96" t="s">
        <v>3478</v>
      </c>
      <c r="I4" s="96" t="s">
        <v>3483</v>
      </c>
      <c r="J4" s="92"/>
      <c r="K4" s="94"/>
      <c r="L4" s="141"/>
    </row>
    <row r="5" spans="1:12" s="90" customFormat="1" ht="11.25">
      <c r="A5" s="91"/>
      <c r="B5" s="92"/>
      <c r="C5" s="92"/>
      <c r="D5" s="92"/>
      <c r="E5" s="92"/>
      <c r="F5" s="92"/>
      <c r="G5" s="92"/>
      <c r="H5" s="92"/>
      <c r="I5" s="92"/>
      <c r="J5" s="92"/>
      <c r="K5" s="94"/>
      <c r="L5" s="141"/>
    </row>
    <row r="6" spans="1:12" s="90" customFormat="1" ht="11.25">
      <c r="A6" s="95" t="s">
        <v>3</v>
      </c>
      <c r="B6" s="92"/>
      <c r="C6" s="96" t="s">
        <v>2151</v>
      </c>
      <c r="D6" s="96" t="s">
        <v>3452</v>
      </c>
      <c r="E6" s="92"/>
      <c r="F6" s="92"/>
      <c r="G6" s="92"/>
      <c r="H6" s="96" t="s">
        <v>3479</v>
      </c>
      <c r="I6" s="96"/>
      <c r="J6" s="92"/>
      <c r="K6" s="94"/>
      <c r="L6" s="141"/>
    </row>
    <row r="7" spans="1:12" s="90" customFormat="1" ht="11.25">
      <c r="A7" s="91"/>
      <c r="B7" s="92"/>
      <c r="C7" s="92"/>
      <c r="D7" s="92"/>
      <c r="E7" s="92"/>
      <c r="F7" s="92"/>
      <c r="G7" s="92"/>
      <c r="H7" s="92"/>
      <c r="I7" s="92"/>
      <c r="J7" s="92"/>
      <c r="K7" s="94"/>
      <c r="L7" s="141"/>
    </row>
    <row r="8" spans="1:12" s="90" customFormat="1" ht="11.25">
      <c r="A8" s="95" t="s">
        <v>4</v>
      </c>
      <c r="B8" s="92"/>
      <c r="C8" s="96"/>
      <c r="D8" s="96" t="s">
        <v>3453</v>
      </c>
      <c r="E8" s="92"/>
      <c r="F8" s="97">
        <v>41078</v>
      </c>
      <c r="G8" s="92"/>
      <c r="H8" s="96" t="s">
        <v>3480</v>
      </c>
      <c r="I8" s="96" t="s">
        <v>3484</v>
      </c>
      <c r="J8" s="92"/>
      <c r="K8" s="94"/>
      <c r="L8" s="141"/>
    </row>
    <row r="9" spans="1:12" s="90" customFormat="1" ht="11.25">
      <c r="A9" s="98"/>
      <c r="B9" s="99"/>
      <c r="C9" s="99"/>
      <c r="D9" s="99"/>
      <c r="E9" s="99"/>
      <c r="F9" s="99"/>
      <c r="G9" s="99"/>
      <c r="H9" s="99"/>
      <c r="I9" s="99"/>
      <c r="J9" s="99"/>
      <c r="K9" s="100"/>
      <c r="L9" s="141"/>
    </row>
    <row r="10" spans="1:12" s="90" customFormat="1" ht="11.25">
      <c r="A10" s="101" t="s">
        <v>5</v>
      </c>
      <c r="B10" s="102" t="s">
        <v>5</v>
      </c>
      <c r="C10" s="102" t="s">
        <v>5</v>
      </c>
      <c r="D10" s="102" t="s">
        <v>5</v>
      </c>
      <c r="E10" s="102" t="s">
        <v>5</v>
      </c>
      <c r="F10" s="103" t="s">
        <v>3472</v>
      </c>
      <c r="G10" s="104" t="s">
        <v>3474</v>
      </c>
      <c r="H10" s="105"/>
      <c r="I10" s="106"/>
      <c r="J10" s="104" t="s">
        <v>3486</v>
      </c>
      <c r="K10" s="106"/>
      <c r="L10" s="141"/>
    </row>
    <row r="11" spans="1:23" s="90" customFormat="1" ht="11.25">
      <c r="A11" s="107" t="s">
        <v>6</v>
      </c>
      <c r="B11" s="108" t="s">
        <v>1100</v>
      </c>
      <c r="C11" s="108" t="s">
        <v>2152</v>
      </c>
      <c r="D11" s="108" t="s">
        <v>3454</v>
      </c>
      <c r="E11" s="109" t="s">
        <v>3471</v>
      </c>
      <c r="F11" s="110" t="s">
        <v>3473</v>
      </c>
      <c r="G11" s="111" t="s">
        <v>3475</v>
      </c>
      <c r="H11" s="112" t="s">
        <v>3481</v>
      </c>
      <c r="I11" s="113" t="s">
        <v>3485</v>
      </c>
      <c r="J11" s="111" t="s">
        <v>3472</v>
      </c>
      <c r="K11" s="113" t="s">
        <v>3485</v>
      </c>
      <c r="L11" s="141"/>
      <c r="O11" s="114" t="s">
        <v>3487</v>
      </c>
      <c r="P11" s="114" t="s">
        <v>3488</v>
      </c>
      <c r="Q11" s="114" t="s">
        <v>3493</v>
      </c>
      <c r="R11" s="114" t="s">
        <v>3494</v>
      </c>
      <c r="S11" s="114" t="s">
        <v>3495</v>
      </c>
      <c r="T11" s="114" t="s">
        <v>3496</v>
      </c>
      <c r="U11" s="114" t="s">
        <v>3497</v>
      </c>
      <c r="V11" s="114" t="s">
        <v>3498</v>
      </c>
      <c r="W11" s="114" t="s">
        <v>3499</v>
      </c>
    </row>
    <row r="12" spans="1:36" s="90" customFormat="1" ht="11.25">
      <c r="A12" s="115"/>
      <c r="B12" s="116" t="s">
        <v>1101</v>
      </c>
      <c r="C12" s="117" t="s">
        <v>2153</v>
      </c>
      <c r="D12" s="118"/>
      <c r="E12" s="118"/>
      <c r="F12" s="118"/>
      <c r="G12" s="119">
        <f>SUM(G13:G21)</f>
        <v>0</v>
      </c>
      <c r="H12" s="119">
        <f>SUM(H13:H21)</f>
        <v>0</v>
      </c>
      <c r="I12" s="119">
        <f>G12+H12</f>
        <v>0</v>
      </c>
      <c r="J12" s="120"/>
      <c r="K12" s="119">
        <f>SUM(K13:K21)</f>
        <v>0</v>
      </c>
      <c r="L12" s="142"/>
      <c r="O12" s="121">
        <f>IF(P12="PR",I12,SUM(N13:N21))</f>
        <v>0</v>
      </c>
      <c r="P12" s="114" t="s">
        <v>3489</v>
      </c>
      <c r="Q12" s="121">
        <f>IF(P12="HS",G12,0)</f>
        <v>0</v>
      </c>
      <c r="R12" s="121">
        <f>IF(P12="HS",H12-O12,0)</f>
        <v>0</v>
      </c>
      <c r="S12" s="121">
        <f>IF(P12="PS",G12,0)</f>
        <v>0</v>
      </c>
      <c r="T12" s="121">
        <f>IF(P12="PS",H12-O12,0)</f>
        <v>0</v>
      </c>
      <c r="U12" s="121">
        <f>IF(P12="MP",G12,0)</f>
        <v>0</v>
      </c>
      <c r="V12" s="121">
        <f>IF(P12="MP",H12-O12,0)</f>
        <v>0</v>
      </c>
      <c r="W12" s="121">
        <f>IF(P12="OM",G12,0)</f>
        <v>0</v>
      </c>
      <c r="X12" s="114"/>
      <c r="AH12" s="121">
        <f>SUM(Y13:Y21)</f>
        <v>0</v>
      </c>
      <c r="AI12" s="121">
        <f>SUM(Z13:Z21)</f>
        <v>0</v>
      </c>
      <c r="AJ12" s="121">
        <f>SUM(AA13:AA21)</f>
        <v>0</v>
      </c>
    </row>
    <row r="13" spans="1:31" s="90" customFormat="1" ht="11.25">
      <c r="A13" s="122" t="s">
        <v>7</v>
      </c>
      <c r="B13" s="122" t="s">
        <v>1102</v>
      </c>
      <c r="C13" s="122" t="s">
        <v>2154</v>
      </c>
      <c r="D13" s="122" t="s">
        <v>3455</v>
      </c>
      <c r="E13" s="123">
        <v>540</v>
      </c>
      <c r="F13" s="123">
        <v>0</v>
      </c>
      <c r="G13" s="123">
        <f aca="true" t="shared" si="0" ref="G13:G19">ROUND(E13*AD13,2)</f>
        <v>0</v>
      </c>
      <c r="H13" s="123">
        <f aca="true" t="shared" si="1" ref="H13:H19">I13-G13</f>
        <v>0</v>
      </c>
      <c r="I13" s="123">
        <f aca="true" t="shared" si="2" ref="I13:I19">ROUND(E13*F13,2)</f>
        <v>0</v>
      </c>
      <c r="J13" s="123">
        <v>0</v>
      </c>
      <c r="K13" s="123">
        <f aca="true" t="shared" si="3" ref="K13:K19">E13*J13</f>
        <v>0</v>
      </c>
      <c r="M13" s="124" t="s">
        <v>7</v>
      </c>
      <c r="N13" s="123">
        <f aca="true" t="shared" si="4" ref="N13:N19">IF(M13="5",H13,0)</f>
        <v>0</v>
      </c>
      <c r="Y13" s="123">
        <f aca="true" t="shared" si="5" ref="Y13:Y19">IF(AC13=0,I13,0)</f>
        <v>0</v>
      </c>
      <c r="Z13" s="123">
        <f aca="true" t="shared" si="6" ref="Z13:Z19">IF(AC13=14,I13,0)</f>
        <v>0</v>
      </c>
      <c r="AA13" s="123">
        <f aca="true" t="shared" si="7" ref="AA13:AA19">IF(AC13=20,I13,0)</f>
        <v>0</v>
      </c>
      <c r="AC13" s="125">
        <v>20</v>
      </c>
      <c r="AD13" s="125">
        <f>F13*0</f>
        <v>0</v>
      </c>
      <c r="AE13" s="125">
        <f>F13*(1-0)</f>
        <v>0</v>
      </c>
    </row>
    <row r="14" spans="1:31" s="90" customFormat="1" ht="11.25">
      <c r="A14" s="122" t="s">
        <v>8</v>
      </c>
      <c r="B14" s="122" t="s">
        <v>1103</v>
      </c>
      <c r="C14" s="122" t="s">
        <v>2155</v>
      </c>
      <c r="D14" s="122" t="s">
        <v>3455</v>
      </c>
      <c r="E14" s="123">
        <v>540</v>
      </c>
      <c r="F14" s="123">
        <v>0</v>
      </c>
      <c r="G14" s="123">
        <f t="shared" si="0"/>
        <v>0</v>
      </c>
      <c r="H14" s="123">
        <f t="shared" si="1"/>
        <v>0</v>
      </c>
      <c r="I14" s="123">
        <f t="shared" si="2"/>
        <v>0</v>
      </c>
      <c r="J14" s="123">
        <v>0</v>
      </c>
      <c r="K14" s="123">
        <f t="shared" si="3"/>
        <v>0</v>
      </c>
      <c r="M14" s="124" t="s">
        <v>7</v>
      </c>
      <c r="N14" s="123">
        <f t="shared" si="4"/>
        <v>0</v>
      </c>
      <c r="Y14" s="123">
        <f t="shared" si="5"/>
        <v>0</v>
      </c>
      <c r="Z14" s="123">
        <f t="shared" si="6"/>
        <v>0</v>
      </c>
      <c r="AA14" s="123">
        <f t="shared" si="7"/>
        <v>0</v>
      </c>
      <c r="AC14" s="125">
        <v>20</v>
      </c>
      <c r="AD14" s="125">
        <f>F14*0</f>
        <v>0</v>
      </c>
      <c r="AE14" s="125">
        <f>F14*(1-0)</f>
        <v>0</v>
      </c>
    </row>
    <row r="15" spans="1:31" s="90" customFormat="1" ht="11.25">
      <c r="A15" s="122" t="s">
        <v>9</v>
      </c>
      <c r="B15" s="122" t="s">
        <v>1104</v>
      </c>
      <c r="C15" s="122" t="s">
        <v>2156</v>
      </c>
      <c r="D15" s="122" t="s">
        <v>3455</v>
      </c>
      <c r="E15" s="123">
        <v>280</v>
      </c>
      <c r="F15" s="123">
        <v>0</v>
      </c>
      <c r="G15" s="123">
        <f t="shared" si="0"/>
        <v>0</v>
      </c>
      <c r="H15" s="123">
        <f t="shared" si="1"/>
        <v>0</v>
      </c>
      <c r="I15" s="123">
        <f t="shared" si="2"/>
        <v>0</v>
      </c>
      <c r="J15" s="123">
        <v>0</v>
      </c>
      <c r="K15" s="123">
        <f t="shared" si="3"/>
        <v>0</v>
      </c>
      <c r="M15" s="124" t="s">
        <v>7</v>
      </c>
      <c r="N15" s="123">
        <f t="shared" si="4"/>
        <v>0</v>
      </c>
      <c r="Y15" s="123">
        <f t="shared" si="5"/>
        <v>0</v>
      </c>
      <c r="Z15" s="123">
        <f t="shared" si="6"/>
        <v>0</v>
      </c>
      <c r="AA15" s="123">
        <f t="shared" si="7"/>
        <v>0</v>
      </c>
      <c r="AC15" s="125">
        <v>20</v>
      </c>
      <c r="AD15" s="125">
        <f>F15*0.833333333333333</f>
        <v>0</v>
      </c>
      <c r="AE15" s="125">
        <f>F15*(1-0.833333333333333)</f>
        <v>0</v>
      </c>
    </row>
    <row r="16" spans="1:31" s="90" customFormat="1" ht="11.25">
      <c r="A16" s="122" t="s">
        <v>10</v>
      </c>
      <c r="B16" s="122" t="s">
        <v>1105</v>
      </c>
      <c r="C16" s="122" t="s">
        <v>2157</v>
      </c>
      <c r="D16" s="122" t="s">
        <v>3456</v>
      </c>
      <c r="E16" s="123">
        <v>360</v>
      </c>
      <c r="F16" s="123">
        <v>0</v>
      </c>
      <c r="G16" s="123">
        <f t="shared" si="0"/>
        <v>0</v>
      </c>
      <c r="H16" s="123">
        <f t="shared" si="1"/>
        <v>0</v>
      </c>
      <c r="I16" s="123">
        <f t="shared" si="2"/>
        <v>0</v>
      </c>
      <c r="J16" s="123">
        <v>0</v>
      </c>
      <c r="K16" s="123">
        <f t="shared" si="3"/>
        <v>0</v>
      </c>
      <c r="M16" s="124" t="s">
        <v>7</v>
      </c>
      <c r="N16" s="123">
        <f t="shared" si="4"/>
        <v>0</v>
      </c>
      <c r="Y16" s="123">
        <f t="shared" si="5"/>
        <v>0</v>
      </c>
      <c r="Z16" s="123">
        <f t="shared" si="6"/>
        <v>0</v>
      </c>
      <c r="AA16" s="123">
        <f t="shared" si="7"/>
        <v>0</v>
      </c>
      <c r="AC16" s="125">
        <v>20</v>
      </c>
      <c r="AD16" s="125">
        <f>F16*0</f>
        <v>0</v>
      </c>
      <c r="AE16" s="125">
        <f>F16*(1-0)</f>
        <v>0</v>
      </c>
    </row>
    <row r="17" spans="1:31" s="90" customFormat="1" ht="11.25">
      <c r="A17" s="122" t="s">
        <v>11</v>
      </c>
      <c r="B17" s="122" t="s">
        <v>1106</v>
      </c>
      <c r="C17" s="122" t="s">
        <v>2158</v>
      </c>
      <c r="D17" s="122" t="s">
        <v>3457</v>
      </c>
      <c r="E17" s="123">
        <v>1</v>
      </c>
      <c r="F17" s="123">
        <v>0</v>
      </c>
      <c r="G17" s="123">
        <f t="shared" si="0"/>
        <v>0</v>
      </c>
      <c r="H17" s="123">
        <f t="shared" si="1"/>
        <v>0</v>
      </c>
      <c r="I17" s="123">
        <f t="shared" si="2"/>
        <v>0</v>
      </c>
      <c r="J17" s="123">
        <v>0</v>
      </c>
      <c r="K17" s="123">
        <f t="shared" si="3"/>
        <v>0</v>
      </c>
      <c r="M17" s="124" t="s">
        <v>7</v>
      </c>
      <c r="N17" s="123">
        <f t="shared" si="4"/>
        <v>0</v>
      </c>
      <c r="Y17" s="123">
        <f t="shared" si="5"/>
        <v>0</v>
      </c>
      <c r="Z17" s="123">
        <f t="shared" si="6"/>
        <v>0</v>
      </c>
      <c r="AA17" s="123">
        <f t="shared" si="7"/>
        <v>0</v>
      </c>
      <c r="AC17" s="125">
        <v>20</v>
      </c>
      <c r="AD17" s="125">
        <f>F17*0</f>
        <v>0</v>
      </c>
      <c r="AE17" s="125">
        <f>F17*(1-0)</f>
        <v>0</v>
      </c>
    </row>
    <row r="18" spans="1:31" s="90" customFormat="1" ht="11.25">
      <c r="A18" s="122" t="s">
        <v>12</v>
      </c>
      <c r="B18" s="122" t="s">
        <v>1107</v>
      </c>
      <c r="C18" s="122" t="s">
        <v>2159</v>
      </c>
      <c r="D18" s="122" t="s">
        <v>3457</v>
      </c>
      <c r="E18" s="123">
        <v>1</v>
      </c>
      <c r="F18" s="123">
        <v>0</v>
      </c>
      <c r="G18" s="123">
        <f t="shared" si="0"/>
        <v>0</v>
      </c>
      <c r="H18" s="123">
        <f t="shared" si="1"/>
        <v>0</v>
      </c>
      <c r="I18" s="123">
        <f t="shared" si="2"/>
        <v>0</v>
      </c>
      <c r="J18" s="123">
        <v>0</v>
      </c>
      <c r="K18" s="123">
        <f t="shared" si="3"/>
        <v>0</v>
      </c>
      <c r="M18" s="124" t="s">
        <v>7</v>
      </c>
      <c r="N18" s="123">
        <f t="shared" si="4"/>
        <v>0</v>
      </c>
      <c r="Y18" s="123">
        <f t="shared" si="5"/>
        <v>0</v>
      </c>
      <c r="Z18" s="123">
        <f t="shared" si="6"/>
        <v>0</v>
      </c>
      <c r="AA18" s="123">
        <f t="shared" si="7"/>
        <v>0</v>
      </c>
      <c r="AC18" s="125">
        <v>20</v>
      </c>
      <c r="AD18" s="125">
        <f>F18*0</f>
        <v>0</v>
      </c>
      <c r="AE18" s="125">
        <f>F18*(1-0)</f>
        <v>0</v>
      </c>
    </row>
    <row r="19" spans="1:31" s="90" customFormat="1" ht="11.25">
      <c r="A19" s="122" t="s">
        <v>13</v>
      </c>
      <c r="B19" s="122" t="s">
        <v>1108</v>
      </c>
      <c r="C19" s="122" t="s">
        <v>2160</v>
      </c>
      <c r="D19" s="122" t="s">
        <v>3457</v>
      </c>
      <c r="E19" s="123">
        <v>1</v>
      </c>
      <c r="F19" s="123">
        <v>0</v>
      </c>
      <c r="G19" s="123">
        <f t="shared" si="0"/>
        <v>0</v>
      </c>
      <c r="H19" s="123">
        <f t="shared" si="1"/>
        <v>0</v>
      </c>
      <c r="I19" s="123">
        <f t="shared" si="2"/>
        <v>0</v>
      </c>
      <c r="J19" s="123">
        <v>0</v>
      </c>
      <c r="K19" s="123">
        <f t="shared" si="3"/>
        <v>0</v>
      </c>
      <c r="M19" s="124" t="s">
        <v>7</v>
      </c>
      <c r="N19" s="123">
        <f t="shared" si="4"/>
        <v>0</v>
      </c>
      <c r="Y19" s="123">
        <f t="shared" si="5"/>
        <v>0</v>
      </c>
      <c r="Z19" s="123">
        <f t="shared" si="6"/>
        <v>0</v>
      </c>
      <c r="AA19" s="123">
        <f t="shared" si="7"/>
        <v>0</v>
      </c>
      <c r="AC19" s="125">
        <v>20</v>
      </c>
      <c r="AD19" s="125">
        <f>F19*0</f>
        <v>0</v>
      </c>
      <c r="AE19" s="125">
        <f>F19*(1-0)</f>
        <v>0</v>
      </c>
    </row>
    <row r="20" s="90" customFormat="1" ht="11.25">
      <c r="C20" s="126" t="s">
        <v>2161</v>
      </c>
    </row>
    <row r="21" spans="1:31" s="90" customFormat="1" ht="11.25">
      <c r="A21" s="122" t="s">
        <v>14</v>
      </c>
      <c r="B21" s="122" t="s">
        <v>1109</v>
      </c>
      <c r="C21" s="122" t="s">
        <v>2162</v>
      </c>
      <c r="D21" s="122" t="s">
        <v>3456</v>
      </c>
      <c r="E21" s="123">
        <v>3</v>
      </c>
      <c r="F21" s="123">
        <v>0</v>
      </c>
      <c r="G21" s="123">
        <f>ROUND(E21*AD21,2)</f>
        <v>0</v>
      </c>
      <c r="H21" s="123">
        <f>I21-G21</f>
        <v>0</v>
      </c>
      <c r="I21" s="123">
        <f>ROUND(E21*F21,2)</f>
        <v>0</v>
      </c>
      <c r="J21" s="123">
        <v>0</v>
      </c>
      <c r="K21" s="123">
        <f>E21*J21</f>
        <v>0</v>
      </c>
      <c r="M21" s="124" t="s">
        <v>7</v>
      </c>
      <c r="N21" s="123">
        <f>IF(M21="5",H21,0)</f>
        <v>0</v>
      </c>
      <c r="Y21" s="123">
        <f>IF(AC21=0,I21,0)</f>
        <v>0</v>
      </c>
      <c r="Z21" s="123">
        <f>IF(AC21=14,I21,0)</f>
        <v>0</v>
      </c>
      <c r="AA21" s="123">
        <f>IF(AC21=20,I21,0)</f>
        <v>0</v>
      </c>
      <c r="AC21" s="125">
        <v>20</v>
      </c>
      <c r="AD21" s="125">
        <f>F21*0</f>
        <v>0</v>
      </c>
      <c r="AE21" s="125">
        <f>F21*(1-0)</f>
        <v>0</v>
      </c>
    </row>
    <row r="22" s="90" customFormat="1" ht="11.25">
      <c r="C22" s="126" t="s">
        <v>2163</v>
      </c>
    </row>
    <row r="23" spans="1:36" s="90" customFormat="1" ht="11.25">
      <c r="A23" s="127"/>
      <c r="B23" s="128" t="s">
        <v>18</v>
      </c>
      <c r="C23" s="129" t="s">
        <v>2164</v>
      </c>
      <c r="D23" s="130"/>
      <c r="E23" s="130"/>
      <c r="F23" s="130"/>
      <c r="G23" s="121">
        <f>SUM(G24:G56)</f>
        <v>0</v>
      </c>
      <c r="H23" s="121">
        <f>SUM(H24:H56)</f>
        <v>0</v>
      </c>
      <c r="I23" s="121">
        <f>G23+H23</f>
        <v>0</v>
      </c>
      <c r="J23" s="114"/>
      <c r="K23" s="121">
        <f>SUM(K24:K56)</f>
        <v>124.16210000000001</v>
      </c>
      <c r="O23" s="121">
        <f>IF(P23="PR",I23,SUM(N24:N56))</f>
        <v>0</v>
      </c>
      <c r="P23" s="114" t="s">
        <v>3489</v>
      </c>
      <c r="Q23" s="121">
        <f>IF(P23="HS",G23,0)</f>
        <v>0</v>
      </c>
      <c r="R23" s="121">
        <f>IF(P23="HS",H23-O23,0)</f>
        <v>0</v>
      </c>
      <c r="S23" s="121">
        <f>IF(P23="PS",G23,0)</f>
        <v>0</v>
      </c>
      <c r="T23" s="121">
        <f>IF(P23="PS",H23-O23,0)</f>
        <v>0</v>
      </c>
      <c r="U23" s="121">
        <f>IF(P23="MP",G23,0)</f>
        <v>0</v>
      </c>
      <c r="V23" s="121">
        <f>IF(P23="MP",H23-O23,0)</f>
        <v>0</v>
      </c>
      <c r="W23" s="121">
        <f>IF(P23="OM",G23,0)</f>
        <v>0</v>
      </c>
      <c r="X23" s="114"/>
      <c r="AH23" s="121">
        <f>SUM(Y24:Y56)</f>
        <v>0</v>
      </c>
      <c r="AI23" s="121">
        <f>SUM(Z24:Z56)</f>
        <v>0</v>
      </c>
      <c r="AJ23" s="121">
        <f>SUM(AA24:AA56)</f>
        <v>0</v>
      </c>
    </row>
    <row r="24" spans="1:31" s="90" customFormat="1" ht="11.25">
      <c r="A24" s="122" t="s">
        <v>15</v>
      </c>
      <c r="B24" s="122" t="s">
        <v>1110</v>
      </c>
      <c r="C24" s="122" t="s">
        <v>2165</v>
      </c>
      <c r="D24" s="122" t="s">
        <v>3458</v>
      </c>
      <c r="E24" s="123">
        <v>95</v>
      </c>
      <c r="F24" s="123">
        <v>0</v>
      </c>
      <c r="G24" s="123">
        <f aca="true" t="shared" si="8" ref="G24:G43">ROUND(E24*AD24,2)</f>
        <v>0</v>
      </c>
      <c r="H24" s="123">
        <f aca="true" t="shared" si="9" ref="H24:H43">I24-G24</f>
        <v>0</v>
      </c>
      <c r="I24" s="123">
        <f aca="true" t="shared" si="10" ref="I24:I43">ROUND(E24*F24,2)</f>
        <v>0</v>
      </c>
      <c r="J24" s="123">
        <v>0</v>
      </c>
      <c r="K24" s="123">
        <f aca="true" t="shared" si="11" ref="K24:K43">E24*J24</f>
        <v>0</v>
      </c>
      <c r="M24" s="124" t="s">
        <v>7</v>
      </c>
      <c r="N24" s="123">
        <f aca="true" t="shared" si="12" ref="N24:N43">IF(M24="5",H24,0)</f>
        <v>0</v>
      </c>
      <c r="Y24" s="123">
        <f aca="true" t="shared" si="13" ref="Y24:Y43">IF(AC24=0,I24,0)</f>
        <v>0</v>
      </c>
      <c r="Z24" s="123">
        <f aca="true" t="shared" si="14" ref="Z24:Z43">IF(AC24=14,I24,0)</f>
        <v>0</v>
      </c>
      <c r="AA24" s="123">
        <f aca="true" t="shared" si="15" ref="AA24:AA43">IF(AC24=20,I24,0)</f>
        <v>0</v>
      </c>
      <c r="AC24" s="125">
        <v>20</v>
      </c>
      <c r="AD24" s="125">
        <f aca="true" t="shared" si="16" ref="AD24:AD30">F24*0</f>
        <v>0</v>
      </c>
      <c r="AE24" s="125">
        <f aca="true" t="shared" si="17" ref="AE24:AE30">F24*(1-0)</f>
        <v>0</v>
      </c>
    </row>
    <row r="25" spans="1:31" s="90" customFormat="1" ht="11.25">
      <c r="A25" s="122" t="s">
        <v>16</v>
      </c>
      <c r="B25" s="122" t="s">
        <v>1111</v>
      </c>
      <c r="C25" s="122" t="s">
        <v>2166</v>
      </c>
      <c r="D25" s="122" t="s">
        <v>3458</v>
      </c>
      <c r="E25" s="123">
        <v>419.79</v>
      </c>
      <c r="F25" s="123">
        <v>0</v>
      </c>
      <c r="G25" s="123">
        <f t="shared" si="8"/>
        <v>0</v>
      </c>
      <c r="H25" s="123">
        <f t="shared" si="9"/>
        <v>0</v>
      </c>
      <c r="I25" s="123">
        <f t="shared" si="10"/>
        <v>0</v>
      </c>
      <c r="J25" s="123">
        <v>0</v>
      </c>
      <c r="K25" s="123">
        <f t="shared" si="11"/>
        <v>0</v>
      </c>
      <c r="M25" s="124" t="s">
        <v>7</v>
      </c>
      <c r="N25" s="123">
        <f t="shared" si="12"/>
        <v>0</v>
      </c>
      <c r="Y25" s="123">
        <f t="shared" si="13"/>
        <v>0</v>
      </c>
      <c r="Z25" s="123">
        <f t="shared" si="14"/>
        <v>0</v>
      </c>
      <c r="AA25" s="123">
        <f t="shared" si="15"/>
        <v>0</v>
      </c>
      <c r="AC25" s="125">
        <v>20</v>
      </c>
      <c r="AD25" s="125">
        <f t="shared" si="16"/>
        <v>0</v>
      </c>
      <c r="AE25" s="125">
        <f t="shared" si="17"/>
        <v>0</v>
      </c>
    </row>
    <row r="26" spans="1:31" s="90" customFormat="1" ht="11.25">
      <c r="A26" s="122" t="s">
        <v>17</v>
      </c>
      <c r="B26" s="122" t="s">
        <v>1112</v>
      </c>
      <c r="C26" s="122" t="s">
        <v>2167</v>
      </c>
      <c r="D26" s="122" t="s">
        <v>3458</v>
      </c>
      <c r="E26" s="123">
        <v>419.76</v>
      </c>
      <c r="F26" s="123">
        <v>0</v>
      </c>
      <c r="G26" s="123">
        <f t="shared" si="8"/>
        <v>0</v>
      </c>
      <c r="H26" s="123">
        <f t="shared" si="9"/>
        <v>0</v>
      </c>
      <c r="I26" s="123">
        <f t="shared" si="10"/>
        <v>0</v>
      </c>
      <c r="J26" s="123">
        <v>0</v>
      </c>
      <c r="K26" s="123">
        <f t="shared" si="11"/>
        <v>0</v>
      </c>
      <c r="M26" s="124" t="s">
        <v>7</v>
      </c>
      <c r="N26" s="123">
        <f t="shared" si="12"/>
        <v>0</v>
      </c>
      <c r="Y26" s="123">
        <f t="shared" si="13"/>
        <v>0</v>
      </c>
      <c r="Z26" s="123">
        <f t="shared" si="14"/>
        <v>0</v>
      </c>
      <c r="AA26" s="123">
        <f t="shared" si="15"/>
        <v>0</v>
      </c>
      <c r="AC26" s="125">
        <v>20</v>
      </c>
      <c r="AD26" s="125">
        <f t="shared" si="16"/>
        <v>0</v>
      </c>
      <c r="AE26" s="125">
        <f t="shared" si="17"/>
        <v>0</v>
      </c>
    </row>
    <row r="27" spans="1:31" s="90" customFormat="1" ht="11.25">
      <c r="A27" s="122" t="s">
        <v>18</v>
      </c>
      <c r="B27" s="122" t="s">
        <v>1113</v>
      </c>
      <c r="C27" s="122" t="s">
        <v>2168</v>
      </c>
      <c r="D27" s="122" t="s">
        <v>3458</v>
      </c>
      <c r="E27" s="123">
        <v>398</v>
      </c>
      <c r="F27" s="123">
        <v>0</v>
      </c>
      <c r="G27" s="123">
        <f t="shared" si="8"/>
        <v>0</v>
      </c>
      <c r="H27" s="123">
        <f t="shared" si="9"/>
        <v>0</v>
      </c>
      <c r="I27" s="123">
        <f t="shared" si="10"/>
        <v>0</v>
      </c>
      <c r="J27" s="123">
        <v>0</v>
      </c>
      <c r="K27" s="123">
        <f t="shared" si="11"/>
        <v>0</v>
      </c>
      <c r="M27" s="124" t="s">
        <v>7</v>
      </c>
      <c r="N27" s="123">
        <f t="shared" si="12"/>
        <v>0</v>
      </c>
      <c r="Y27" s="123">
        <f t="shared" si="13"/>
        <v>0</v>
      </c>
      <c r="Z27" s="123">
        <f t="shared" si="14"/>
        <v>0</v>
      </c>
      <c r="AA27" s="123">
        <f t="shared" si="15"/>
        <v>0</v>
      </c>
      <c r="AC27" s="125">
        <v>20</v>
      </c>
      <c r="AD27" s="125">
        <f t="shared" si="16"/>
        <v>0</v>
      </c>
      <c r="AE27" s="125">
        <f t="shared" si="17"/>
        <v>0</v>
      </c>
    </row>
    <row r="28" spans="1:31" s="90" customFormat="1" ht="11.25">
      <c r="A28" s="122" t="s">
        <v>19</v>
      </c>
      <c r="B28" s="122" t="s">
        <v>1114</v>
      </c>
      <c r="C28" s="122" t="s">
        <v>2169</v>
      </c>
      <c r="D28" s="122" t="s">
        <v>3458</v>
      </c>
      <c r="E28" s="123">
        <v>398</v>
      </c>
      <c r="F28" s="123">
        <v>0</v>
      </c>
      <c r="G28" s="123">
        <f t="shared" si="8"/>
        <v>0</v>
      </c>
      <c r="H28" s="123">
        <f t="shared" si="9"/>
        <v>0</v>
      </c>
      <c r="I28" s="123">
        <f t="shared" si="10"/>
        <v>0</v>
      </c>
      <c r="J28" s="123">
        <v>0</v>
      </c>
      <c r="K28" s="123">
        <f t="shared" si="11"/>
        <v>0</v>
      </c>
      <c r="M28" s="124" t="s">
        <v>7</v>
      </c>
      <c r="N28" s="123">
        <f t="shared" si="12"/>
        <v>0</v>
      </c>
      <c r="Y28" s="123">
        <f t="shared" si="13"/>
        <v>0</v>
      </c>
      <c r="Z28" s="123">
        <f t="shared" si="14"/>
        <v>0</v>
      </c>
      <c r="AA28" s="123">
        <f t="shared" si="15"/>
        <v>0</v>
      </c>
      <c r="AC28" s="125">
        <v>20</v>
      </c>
      <c r="AD28" s="125">
        <f t="shared" si="16"/>
        <v>0</v>
      </c>
      <c r="AE28" s="125">
        <f t="shared" si="17"/>
        <v>0</v>
      </c>
    </row>
    <row r="29" spans="1:31" s="90" customFormat="1" ht="11.25">
      <c r="A29" s="122" t="s">
        <v>20</v>
      </c>
      <c r="B29" s="122" t="s">
        <v>1115</v>
      </c>
      <c r="C29" s="122" t="s">
        <v>2170</v>
      </c>
      <c r="D29" s="122" t="s">
        <v>3458</v>
      </c>
      <c r="E29" s="123">
        <v>350</v>
      </c>
      <c r="F29" s="123">
        <v>0</v>
      </c>
      <c r="G29" s="123">
        <f t="shared" si="8"/>
        <v>0</v>
      </c>
      <c r="H29" s="123">
        <f t="shared" si="9"/>
        <v>0</v>
      </c>
      <c r="I29" s="123">
        <f t="shared" si="10"/>
        <v>0</v>
      </c>
      <c r="J29" s="123">
        <v>0</v>
      </c>
      <c r="K29" s="123">
        <f t="shared" si="11"/>
        <v>0</v>
      </c>
      <c r="M29" s="124" t="s">
        <v>7</v>
      </c>
      <c r="N29" s="123">
        <f t="shared" si="12"/>
        <v>0</v>
      </c>
      <c r="Y29" s="123">
        <f t="shared" si="13"/>
        <v>0</v>
      </c>
      <c r="Z29" s="123">
        <f t="shared" si="14"/>
        <v>0</v>
      </c>
      <c r="AA29" s="123">
        <f t="shared" si="15"/>
        <v>0</v>
      </c>
      <c r="AC29" s="125">
        <v>20</v>
      </c>
      <c r="AD29" s="125">
        <f t="shared" si="16"/>
        <v>0</v>
      </c>
      <c r="AE29" s="125">
        <f t="shared" si="17"/>
        <v>0</v>
      </c>
    </row>
    <row r="30" spans="1:31" s="90" customFormat="1" ht="11.25">
      <c r="A30" s="122" t="s">
        <v>21</v>
      </c>
      <c r="B30" s="122" t="s">
        <v>1116</v>
      </c>
      <c r="C30" s="122" t="s">
        <v>2171</v>
      </c>
      <c r="D30" s="122" t="s">
        <v>3458</v>
      </c>
      <c r="E30" s="123">
        <v>350</v>
      </c>
      <c r="F30" s="123">
        <v>0</v>
      </c>
      <c r="G30" s="123">
        <f t="shared" si="8"/>
        <v>0</v>
      </c>
      <c r="H30" s="123">
        <f t="shared" si="9"/>
        <v>0</v>
      </c>
      <c r="I30" s="123">
        <f t="shared" si="10"/>
        <v>0</v>
      </c>
      <c r="J30" s="123">
        <v>0</v>
      </c>
      <c r="K30" s="123">
        <f t="shared" si="11"/>
        <v>0</v>
      </c>
      <c r="M30" s="124" t="s">
        <v>7</v>
      </c>
      <c r="N30" s="123">
        <f t="shared" si="12"/>
        <v>0</v>
      </c>
      <c r="Y30" s="123">
        <f t="shared" si="13"/>
        <v>0</v>
      </c>
      <c r="Z30" s="123">
        <f t="shared" si="14"/>
        <v>0</v>
      </c>
      <c r="AA30" s="123">
        <f t="shared" si="15"/>
        <v>0</v>
      </c>
      <c r="AC30" s="125">
        <v>20</v>
      </c>
      <c r="AD30" s="125">
        <f t="shared" si="16"/>
        <v>0</v>
      </c>
      <c r="AE30" s="125">
        <f t="shared" si="17"/>
        <v>0</v>
      </c>
    </row>
    <row r="31" spans="1:31" s="90" customFormat="1" ht="11.25">
      <c r="A31" s="122" t="s">
        <v>22</v>
      </c>
      <c r="B31" s="122" t="s">
        <v>1117</v>
      </c>
      <c r="C31" s="122" t="s">
        <v>2172</v>
      </c>
      <c r="D31" s="122" t="s">
        <v>3458</v>
      </c>
      <c r="E31" s="123">
        <v>350</v>
      </c>
      <c r="F31" s="123">
        <v>0</v>
      </c>
      <c r="G31" s="123">
        <f t="shared" si="8"/>
        <v>0</v>
      </c>
      <c r="H31" s="123">
        <f t="shared" si="9"/>
        <v>0</v>
      </c>
      <c r="I31" s="123">
        <f t="shared" si="10"/>
        <v>0</v>
      </c>
      <c r="J31" s="123">
        <v>0.00815</v>
      </c>
      <c r="K31" s="123">
        <f t="shared" si="11"/>
        <v>2.8524999999999996</v>
      </c>
      <c r="M31" s="124" t="s">
        <v>7</v>
      </c>
      <c r="N31" s="123">
        <f t="shared" si="12"/>
        <v>0</v>
      </c>
      <c r="Y31" s="123">
        <f t="shared" si="13"/>
        <v>0</v>
      </c>
      <c r="Z31" s="123">
        <f t="shared" si="14"/>
        <v>0</v>
      </c>
      <c r="AA31" s="123">
        <f t="shared" si="15"/>
        <v>0</v>
      </c>
      <c r="AC31" s="125">
        <v>20</v>
      </c>
      <c r="AD31" s="125">
        <f>F31*0.0967122695073812</f>
        <v>0</v>
      </c>
      <c r="AE31" s="125">
        <f>F31*(1-0.0967122695073812)</f>
        <v>0</v>
      </c>
    </row>
    <row r="32" spans="1:31" s="90" customFormat="1" ht="11.25">
      <c r="A32" s="122" t="s">
        <v>23</v>
      </c>
      <c r="B32" s="122" t="s">
        <v>1118</v>
      </c>
      <c r="C32" s="122" t="s">
        <v>2173</v>
      </c>
      <c r="D32" s="122" t="s">
        <v>3458</v>
      </c>
      <c r="E32" s="123">
        <v>422.89</v>
      </c>
      <c r="F32" s="123">
        <v>0</v>
      </c>
      <c r="G32" s="123">
        <f t="shared" si="8"/>
        <v>0</v>
      </c>
      <c r="H32" s="123">
        <f t="shared" si="9"/>
        <v>0</v>
      </c>
      <c r="I32" s="123">
        <f t="shared" si="10"/>
        <v>0</v>
      </c>
      <c r="J32" s="123">
        <v>0</v>
      </c>
      <c r="K32" s="123">
        <f t="shared" si="11"/>
        <v>0</v>
      </c>
      <c r="M32" s="124" t="s">
        <v>7</v>
      </c>
      <c r="N32" s="123">
        <f t="shared" si="12"/>
        <v>0</v>
      </c>
      <c r="Y32" s="123">
        <f t="shared" si="13"/>
        <v>0</v>
      </c>
      <c r="Z32" s="123">
        <f t="shared" si="14"/>
        <v>0</v>
      </c>
      <c r="AA32" s="123">
        <f t="shared" si="15"/>
        <v>0</v>
      </c>
      <c r="AC32" s="125">
        <v>20</v>
      </c>
      <c r="AD32" s="125">
        <f aca="true" t="shared" si="18" ref="AD32:AD42">F32*0</f>
        <v>0</v>
      </c>
      <c r="AE32" s="125">
        <f aca="true" t="shared" si="19" ref="AE32:AE42">F32*(1-0)</f>
        <v>0</v>
      </c>
    </row>
    <row r="33" spans="1:31" s="90" customFormat="1" ht="11.25">
      <c r="A33" s="122" t="s">
        <v>24</v>
      </c>
      <c r="B33" s="122" t="s">
        <v>1119</v>
      </c>
      <c r="C33" s="122" t="s">
        <v>2174</v>
      </c>
      <c r="D33" s="122" t="s">
        <v>3458</v>
      </c>
      <c r="E33" s="123">
        <v>422.89</v>
      </c>
      <c r="F33" s="123">
        <v>0</v>
      </c>
      <c r="G33" s="123">
        <f t="shared" si="8"/>
        <v>0</v>
      </c>
      <c r="H33" s="123">
        <f t="shared" si="9"/>
        <v>0</v>
      </c>
      <c r="I33" s="123">
        <f t="shared" si="10"/>
        <v>0</v>
      </c>
      <c r="J33" s="123">
        <v>0</v>
      </c>
      <c r="K33" s="123">
        <f t="shared" si="11"/>
        <v>0</v>
      </c>
      <c r="M33" s="124" t="s">
        <v>7</v>
      </c>
      <c r="N33" s="123">
        <f t="shared" si="12"/>
        <v>0</v>
      </c>
      <c r="Y33" s="123">
        <f t="shared" si="13"/>
        <v>0</v>
      </c>
      <c r="Z33" s="123">
        <f t="shared" si="14"/>
        <v>0</v>
      </c>
      <c r="AA33" s="123">
        <f t="shared" si="15"/>
        <v>0</v>
      </c>
      <c r="AC33" s="125">
        <v>20</v>
      </c>
      <c r="AD33" s="125">
        <f t="shared" si="18"/>
        <v>0</v>
      </c>
      <c r="AE33" s="125">
        <f t="shared" si="19"/>
        <v>0</v>
      </c>
    </row>
    <row r="34" spans="1:31" s="90" customFormat="1" ht="11.25">
      <c r="A34" s="122" t="s">
        <v>25</v>
      </c>
      <c r="B34" s="122" t="s">
        <v>1120</v>
      </c>
      <c r="C34" s="122" t="s">
        <v>2175</v>
      </c>
      <c r="D34" s="122" t="s">
        <v>3458</v>
      </c>
      <c r="E34" s="123">
        <v>12.65</v>
      </c>
      <c r="F34" s="123">
        <v>0</v>
      </c>
      <c r="G34" s="123">
        <f t="shared" si="8"/>
        <v>0</v>
      </c>
      <c r="H34" s="123">
        <f t="shared" si="9"/>
        <v>0</v>
      </c>
      <c r="I34" s="123">
        <f t="shared" si="10"/>
        <v>0</v>
      </c>
      <c r="J34" s="123">
        <v>0</v>
      </c>
      <c r="K34" s="123">
        <f t="shared" si="11"/>
        <v>0</v>
      </c>
      <c r="M34" s="124" t="s">
        <v>7</v>
      </c>
      <c r="N34" s="123">
        <f t="shared" si="12"/>
        <v>0</v>
      </c>
      <c r="Y34" s="123">
        <f t="shared" si="13"/>
        <v>0</v>
      </c>
      <c r="Z34" s="123">
        <f t="shared" si="14"/>
        <v>0</v>
      </c>
      <c r="AA34" s="123">
        <f t="shared" si="15"/>
        <v>0</v>
      </c>
      <c r="AC34" s="125">
        <v>20</v>
      </c>
      <c r="AD34" s="125">
        <f t="shared" si="18"/>
        <v>0</v>
      </c>
      <c r="AE34" s="125">
        <f t="shared" si="19"/>
        <v>0</v>
      </c>
    </row>
    <row r="35" spans="1:31" s="90" customFormat="1" ht="11.25">
      <c r="A35" s="122" t="s">
        <v>26</v>
      </c>
      <c r="B35" s="122" t="s">
        <v>1121</v>
      </c>
      <c r="C35" s="122" t="s">
        <v>2176</v>
      </c>
      <c r="D35" s="122" t="s">
        <v>3458</v>
      </c>
      <c r="E35" s="123">
        <v>96.68</v>
      </c>
      <c r="F35" s="123">
        <v>0</v>
      </c>
      <c r="G35" s="123">
        <f t="shared" si="8"/>
        <v>0</v>
      </c>
      <c r="H35" s="123">
        <f t="shared" si="9"/>
        <v>0</v>
      </c>
      <c r="I35" s="123">
        <f t="shared" si="10"/>
        <v>0</v>
      </c>
      <c r="J35" s="123">
        <v>0</v>
      </c>
      <c r="K35" s="123">
        <f t="shared" si="11"/>
        <v>0</v>
      </c>
      <c r="M35" s="124" t="s">
        <v>7</v>
      </c>
      <c r="N35" s="123">
        <f t="shared" si="12"/>
        <v>0</v>
      </c>
      <c r="Y35" s="123">
        <f t="shared" si="13"/>
        <v>0</v>
      </c>
      <c r="Z35" s="123">
        <f t="shared" si="14"/>
        <v>0</v>
      </c>
      <c r="AA35" s="123">
        <f t="shared" si="15"/>
        <v>0</v>
      </c>
      <c r="AC35" s="125">
        <v>20</v>
      </c>
      <c r="AD35" s="125">
        <f t="shared" si="18"/>
        <v>0</v>
      </c>
      <c r="AE35" s="125">
        <f t="shared" si="19"/>
        <v>0</v>
      </c>
    </row>
    <row r="36" spans="1:31" s="90" customFormat="1" ht="11.25">
      <c r="A36" s="122" t="s">
        <v>27</v>
      </c>
      <c r="B36" s="122" t="s">
        <v>1122</v>
      </c>
      <c r="C36" s="122" t="s">
        <v>2177</v>
      </c>
      <c r="D36" s="122" t="s">
        <v>3458</v>
      </c>
      <c r="E36" s="123">
        <v>109.33</v>
      </c>
      <c r="F36" s="123">
        <v>0</v>
      </c>
      <c r="G36" s="123">
        <f t="shared" si="8"/>
        <v>0</v>
      </c>
      <c r="H36" s="123">
        <f t="shared" si="9"/>
        <v>0</v>
      </c>
      <c r="I36" s="123">
        <f t="shared" si="10"/>
        <v>0</v>
      </c>
      <c r="J36" s="123">
        <v>0</v>
      </c>
      <c r="K36" s="123">
        <f t="shared" si="11"/>
        <v>0</v>
      </c>
      <c r="M36" s="124" t="s">
        <v>7</v>
      </c>
      <c r="N36" s="123">
        <f t="shared" si="12"/>
        <v>0</v>
      </c>
      <c r="Y36" s="123">
        <f t="shared" si="13"/>
        <v>0</v>
      </c>
      <c r="Z36" s="123">
        <f t="shared" si="14"/>
        <v>0</v>
      </c>
      <c r="AA36" s="123">
        <f t="shared" si="15"/>
        <v>0</v>
      </c>
      <c r="AC36" s="125">
        <v>20</v>
      </c>
      <c r="AD36" s="125">
        <f t="shared" si="18"/>
        <v>0</v>
      </c>
      <c r="AE36" s="125">
        <f t="shared" si="19"/>
        <v>0</v>
      </c>
    </row>
    <row r="37" spans="1:31" s="90" customFormat="1" ht="11.25">
      <c r="A37" s="122" t="s">
        <v>28</v>
      </c>
      <c r="B37" s="122" t="s">
        <v>1123</v>
      </c>
      <c r="C37" s="122" t="s">
        <v>2178</v>
      </c>
      <c r="D37" s="122" t="s">
        <v>3458</v>
      </c>
      <c r="E37" s="123">
        <v>35.23</v>
      </c>
      <c r="F37" s="123">
        <v>0</v>
      </c>
      <c r="G37" s="123">
        <f t="shared" si="8"/>
        <v>0</v>
      </c>
      <c r="H37" s="123">
        <f t="shared" si="9"/>
        <v>0</v>
      </c>
      <c r="I37" s="123">
        <f t="shared" si="10"/>
        <v>0</v>
      </c>
      <c r="J37" s="123">
        <v>0</v>
      </c>
      <c r="K37" s="123">
        <f t="shared" si="11"/>
        <v>0</v>
      </c>
      <c r="M37" s="124" t="s">
        <v>7</v>
      </c>
      <c r="N37" s="123">
        <f t="shared" si="12"/>
        <v>0</v>
      </c>
      <c r="Y37" s="123">
        <f t="shared" si="13"/>
        <v>0</v>
      </c>
      <c r="Z37" s="123">
        <f t="shared" si="14"/>
        <v>0</v>
      </c>
      <c r="AA37" s="123">
        <f t="shared" si="15"/>
        <v>0</v>
      </c>
      <c r="AC37" s="125">
        <v>20</v>
      </c>
      <c r="AD37" s="125">
        <f t="shared" si="18"/>
        <v>0</v>
      </c>
      <c r="AE37" s="125">
        <f t="shared" si="19"/>
        <v>0</v>
      </c>
    </row>
    <row r="38" spans="1:31" s="90" customFormat="1" ht="11.25">
      <c r="A38" s="122" t="s">
        <v>29</v>
      </c>
      <c r="B38" s="122" t="s">
        <v>1124</v>
      </c>
      <c r="C38" s="122" t="s">
        <v>2179</v>
      </c>
      <c r="D38" s="122" t="s">
        <v>3458</v>
      </c>
      <c r="E38" s="123">
        <v>35.23</v>
      </c>
      <c r="F38" s="123">
        <v>0</v>
      </c>
      <c r="G38" s="123">
        <f t="shared" si="8"/>
        <v>0</v>
      </c>
      <c r="H38" s="123">
        <f t="shared" si="9"/>
        <v>0</v>
      </c>
      <c r="I38" s="123">
        <f t="shared" si="10"/>
        <v>0</v>
      </c>
      <c r="J38" s="123">
        <v>0</v>
      </c>
      <c r="K38" s="123">
        <f t="shared" si="11"/>
        <v>0</v>
      </c>
      <c r="M38" s="124" t="s">
        <v>7</v>
      </c>
      <c r="N38" s="123">
        <f t="shared" si="12"/>
        <v>0</v>
      </c>
      <c r="Y38" s="123">
        <f t="shared" si="13"/>
        <v>0</v>
      </c>
      <c r="Z38" s="123">
        <f t="shared" si="14"/>
        <v>0</v>
      </c>
      <c r="AA38" s="123">
        <f t="shared" si="15"/>
        <v>0</v>
      </c>
      <c r="AC38" s="125">
        <v>20</v>
      </c>
      <c r="AD38" s="125">
        <f t="shared" si="18"/>
        <v>0</v>
      </c>
      <c r="AE38" s="125">
        <f t="shared" si="19"/>
        <v>0</v>
      </c>
    </row>
    <row r="39" spans="1:31" s="90" customFormat="1" ht="11.25">
      <c r="A39" s="122" t="s">
        <v>30</v>
      </c>
      <c r="B39" s="122" t="s">
        <v>1125</v>
      </c>
      <c r="C39" s="122" t="s">
        <v>2180</v>
      </c>
      <c r="D39" s="122" t="s">
        <v>3458</v>
      </c>
      <c r="E39" s="123">
        <v>1898.71</v>
      </c>
      <c r="F39" s="123">
        <v>0</v>
      </c>
      <c r="G39" s="123">
        <f t="shared" si="8"/>
        <v>0</v>
      </c>
      <c r="H39" s="123">
        <f t="shared" si="9"/>
        <v>0</v>
      </c>
      <c r="I39" s="123">
        <f t="shared" si="10"/>
        <v>0</v>
      </c>
      <c r="J39" s="123">
        <v>0</v>
      </c>
      <c r="K39" s="123">
        <f t="shared" si="11"/>
        <v>0</v>
      </c>
      <c r="M39" s="124" t="s">
        <v>7</v>
      </c>
      <c r="N39" s="123">
        <f t="shared" si="12"/>
        <v>0</v>
      </c>
      <c r="Y39" s="123">
        <f t="shared" si="13"/>
        <v>0</v>
      </c>
      <c r="Z39" s="123">
        <f t="shared" si="14"/>
        <v>0</v>
      </c>
      <c r="AA39" s="123">
        <f t="shared" si="15"/>
        <v>0</v>
      </c>
      <c r="AC39" s="125">
        <v>20</v>
      </c>
      <c r="AD39" s="125">
        <f t="shared" si="18"/>
        <v>0</v>
      </c>
      <c r="AE39" s="125">
        <f t="shared" si="19"/>
        <v>0</v>
      </c>
    </row>
    <row r="40" spans="1:31" s="90" customFormat="1" ht="11.25">
      <c r="A40" s="122" t="s">
        <v>31</v>
      </c>
      <c r="B40" s="122" t="s">
        <v>1126</v>
      </c>
      <c r="C40" s="122" t="s">
        <v>2181</v>
      </c>
      <c r="D40" s="122" t="s">
        <v>3458</v>
      </c>
      <c r="E40" s="123">
        <v>1898.71</v>
      </c>
      <c r="F40" s="123">
        <v>0</v>
      </c>
      <c r="G40" s="123">
        <f t="shared" si="8"/>
        <v>0</v>
      </c>
      <c r="H40" s="123">
        <f t="shared" si="9"/>
        <v>0</v>
      </c>
      <c r="I40" s="123">
        <f t="shared" si="10"/>
        <v>0</v>
      </c>
      <c r="J40" s="123">
        <v>0</v>
      </c>
      <c r="K40" s="123">
        <f t="shared" si="11"/>
        <v>0</v>
      </c>
      <c r="M40" s="124" t="s">
        <v>7</v>
      </c>
      <c r="N40" s="123">
        <f t="shared" si="12"/>
        <v>0</v>
      </c>
      <c r="Y40" s="123">
        <f t="shared" si="13"/>
        <v>0</v>
      </c>
      <c r="Z40" s="123">
        <f t="shared" si="14"/>
        <v>0</v>
      </c>
      <c r="AA40" s="123">
        <f t="shared" si="15"/>
        <v>0</v>
      </c>
      <c r="AC40" s="125">
        <v>20</v>
      </c>
      <c r="AD40" s="125">
        <f t="shared" si="18"/>
        <v>0</v>
      </c>
      <c r="AE40" s="125">
        <f t="shared" si="19"/>
        <v>0</v>
      </c>
    </row>
    <row r="41" spans="1:31" s="90" customFormat="1" ht="11.25">
      <c r="A41" s="122" t="s">
        <v>32</v>
      </c>
      <c r="B41" s="122" t="s">
        <v>1127</v>
      </c>
      <c r="C41" s="122" t="s">
        <v>2182</v>
      </c>
      <c r="D41" s="122" t="s">
        <v>3458</v>
      </c>
      <c r="E41" s="123">
        <v>1898.71</v>
      </c>
      <c r="F41" s="123">
        <v>0</v>
      </c>
      <c r="G41" s="123">
        <f t="shared" si="8"/>
        <v>0</v>
      </c>
      <c r="H41" s="123">
        <f t="shared" si="9"/>
        <v>0</v>
      </c>
      <c r="I41" s="123">
        <f t="shared" si="10"/>
        <v>0</v>
      </c>
      <c r="J41" s="123">
        <v>0</v>
      </c>
      <c r="K41" s="123">
        <f t="shared" si="11"/>
        <v>0</v>
      </c>
      <c r="M41" s="124" t="s">
        <v>7</v>
      </c>
      <c r="N41" s="123">
        <f t="shared" si="12"/>
        <v>0</v>
      </c>
      <c r="Y41" s="123">
        <f t="shared" si="13"/>
        <v>0</v>
      </c>
      <c r="Z41" s="123">
        <f t="shared" si="14"/>
        <v>0</v>
      </c>
      <c r="AA41" s="123">
        <f t="shared" si="15"/>
        <v>0</v>
      </c>
      <c r="AC41" s="125">
        <v>20</v>
      </c>
      <c r="AD41" s="125">
        <f t="shared" si="18"/>
        <v>0</v>
      </c>
      <c r="AE41" s="125">
        <f t="shared" si="19"/>
        <v>0</v>
      </c>
    </row>
    <row r="42" spans="1:31" s="90" customFormat="1" ht="11.25">
      <c r="A42" s="122" t="s">
        <v>33</v>
      </c>
      <c r="B42" s="122" t="s">
        <v>1128</v>
      </c>
      <c r="C42" s="122" t="s">
        <v>2183</v>
      </c>
      <c r="D42" s="122" t="s">
        <v>3458</v>
      </c>
      <c r="E42" s="123">
        <v>228.01</v>
      </c>
      <c r="F42" s="123">
        <v>0</v>
      </c>
      <c r="G42" s="123">
        <f t="shared" si="8"/>
        <v>0</v>
      </c>
      <c r="H42" s="123">
        <f t="shared" si="9"/>
        <v>0</v>
      </c>
      <c r="I42" s="123">
        <f t="shared" si="10"/>
        <v>0</v>
      </c>
      <c r="J42" s="123">
        <v>0</v>
      </c>
      <c r="K42" s="123">
        <f t="shared" si="11"/>
        <v>0</v>
      </c>
      <c r="M42" s="124" t="s">
        <v>9</v>
      </c>
      <c r="N42" s="123">
        <f t="shared" si="12"/>
        <v>0</v>
      </c>
      <c r="Y42" s="123">
        <f t="shared" si="13"/>
        <v>0</v>
      </c>
      <c r="Z42" s="123">
        <f t="shared" si="14"/>
        <v>0</v>
      </c>
      <c r="AA42" s="123">
        <f t="shared" si="15"/>
        <v>0</v>
      </c>
      <c r="AC42" s="125">
        <v>20</v>
      </c>
      <c r="AD42" s="125">
        <f t="shared" si="18"/>
        <v>0</v>
      </c>
      <c r="AE42" s="125">
        <f t="shared" si="19"/>
        <v>0</v>
      </c>
    </row>
    <row r="43" spans="1:31" s="90" customFormat="1" ht="11.25">
      <c r="A43" s="122" t="s">
        <v>34</v>
      </c>
      <c r="B43" s="122" t="s">
        <v>1129</v>
      </c>
      <c r="C43" s="122" t="s">
        <v>2184</v>
      </c>
      <c r="D43" s="122" t="s">
        <v>3458</v>
      </c>
      <c r="E43" s="123">
        <v>72.62</v>
      </c>
      <c r="F43" s="123">
        <v>0</v>
      </c>
      <c r="G43" s="123">
        <f t="shared" si="8"/>
        <v>0</v>
      </c>
      <c r="H43" s="123">
        <f t="shared" si="9"/>
        <v>0</v>
      </c>
      <c r="I43" s="123">
        <f t="shared" si="10"/>
        <v>0</v>
      </c>
      <c r="J43" s="123">
        <v>1.67</v>
      </c>
      <c r="K43" s="123">
        <f t="shared" si="11"/>
        <v>121.2754</v>
      </c>
      <c r="M43" s="124" t="s">
        <v>9</v>
      </c>
      <c r="N43" s="123">
        <f t="shared" si="12"/>
        <v>0</v>
      </c>
      <c r="Y43" s="123">
        <f t="shared" si="13"/>
        <v>0</v>
      </c>
      <c r="Z43" s="123">
        <f t="shared" si="14"/>
        <v>0</v>
      </c>
      <c r="AA43" s="123">
        <f t="shared" si="15"/>
        <v>0</v>
      </c>
      <c r="AC43" s="125">
        <v>20</v>
      </c>
      <c r="AD43" s="125">
        <f>F43*0.384977333316953</f>
        <v>0</v>
      </c>
      <c r="AE43" s="125">
        <f>F43*(1-0.384977333316953)</f>
        <v>0</v>
      </c>
    </row>
    <row r="44" s="90" customFormat="1" ht="11.25">
      <c r="C44" s="126" t="s">
        <v>2185</v>
      </c>
    </row>
    <row r="45" spans="1:31" s="90" customFormat="1" ht="11.25">
      <c r="A45" s="122" t="s">
        <v>35</v>
      </c>
      <c r="B45" s="122" t="s">
        <v>1130</v>
      </c>
      <c r="C45" s="122" t="s">
        <v>2186</v>
      </c>
      <c r="D45" s="122" t="s">
        <v>3458</v>
      </c>
      <c r="E45" s="123">
        <v>91</v>
      </c>
      <c r="F45" s="123">
        <v>0</v>
      </c>
      <c r="G45" s="123">
        <f>ROUND(E45*AD45,2)</f>
        <v>0</v>
      </c>
      <c r="H45" s="123">
        <f>I45-G45</f>
        <v>0</v>
      </c>
      <c r="I45" s="123">
        <f>ROUND(E45*F45,2)</f>
        <v>0</v>
      </c>
      <c r="J45" s="123">
        <v>0</v>
      </c>
      <c r="K45" s="123">
        <f>E45*J45</f>
        <v>0</v>
      </c>
      <c r="M45" s="124" t="s">
        <v>9</v>
      </c>
      <c r="N45" s="123">
        <f>IF(M45="5",H45,0)</f>
        <v>0</v>
      </c>
      <c r="Y45" s="123">
        <f>IF(AC45=0,I45,0)</f>
        <v>0</v>
      </c>
      <c r="Z45" s="123">
        <f>IF(AC45=14,I45,0)</f>
        <v>0</v>
      </c>
      <c r="AA45" s="123">
        <f>IF(AC45=20,I45,0)</f>
        <v>0</v>
      </c>
      <c r="AC45" s="125">
        <v>20</v>
      </c>
      <c r="AD45" s="125">
        <f>F45*0</f>
        <v>0</v>
      </c>
      <c r="AE45" s="125">
        <f>F45*(1-0)</f>
        <v>0</v>
      </c>
    </row>
    <row r="46" s="90" customFormat="1" ht="11.25">
      <c r="C46" s="126" t="s">
        <v>2187</v>
      </c>
    </row>
    <row r="47" spans="1:31" s="90" customFormat="1" ht="11.25">
      <c r="A47" s="122" t="s">
        <v>36</v>
      </c>
      <c r="B47" s="122" t="s">
        <v>1131</v>
      </c>
      <c r="C47" s="122" t="s">
        <v>2188</v>
      </c>
      <c r="D47" s="122" t="s">
        <v>3458</v>
      </c>
      <c r="E47" s="123">
        <v>10</v>
      </c>
      <c r="F47" s="123">
        <v>0</v>
      </c>
      <c r="G47" s="123">
        <f aca="true" t="shared" si="20" ref="G47:G53">ROUND(E47*AD47,2)</f>
        <v>0</v>
      </c>
      <c r="H47" s="123">
        <f aca="true" t="shared" si="21" ref="H47:H53">I47-G47</f>
        <v>0</v>
      </c>
      <c r="I47" s="123">
        <f aca="true" t="shared" si="22" ref="I47:I53">ROUND(E47*F47,2)</f>
        <v>0</v>
      </c>
      <c r="J47" s="123">
        <v>0</v>
      </c>
      <c r="K47" s="123">
        <f aca="true" t="shared" si="23" ref="K47:K53">E47*J47</f>
        <v>0</v>
      </c>
      <c r="M47" s="124" t="s">
        <v>7</v>
      </c>
      <c r="N47" s="123">
        <f aca="true" t="shared" si="24" ref="N47:N53">IF(M47="5",H47,0)</f>
        <v>0</v>
      </c>
      <c r="Y47" s="123">
        <f aca="true" t="shared" si="25" ref="Y47:Y53">IF(AC47=0,I47,0)</f>
        <v>0</v>
      </c>
      <c r="Z47" s="123">
        <f aca="true" t="shared" si="26" ref="Z47:Z53">IF(AC47=14,I47,0)</f>
        <v>0</v>
      </c>
      <c r="AA47" s="123">
        <f aca="true" t="shared" si="27" ref="AA47:AA53">IF(AC47=20,I47,0)</f>
        <v>0</v>
      </c>
      <c r="AC47" s="125">
        <v>20</v>
      </c>
      <c r="AD47" s="125">
        <f>F47*0</f>
        <v>0</v>
      </c>
      <c r="AE47" s="125">
        <f>F47*(1-0)</f>
        <v>0</v>
      </c>
    </row>
    <row r="48" spans="1:31" s="90" customFormat="1" ht="11.25">
      <c r="A48" s="122" t="s">
        <v>37</v>
      </c>
      <c r="B48" s="122" t="s">
        <v>1132</v>
      </c>
      <c r="C48" s="122" t="s">
        <v>2189</v>
      </c>
      <c r="D48" s="122" t="s">
        <v>3459</v>
      </c>
      <c r="E48" s="123">
        <v>570</v>
      </c>
      <c r="F48" s="123">
        <v>0</v>
      </c>
      <c r="G48" s="123">
        <f t="shared" si="20"/>
        <v>0</v>
      </c>
      <c r="H48" s="123">
        <f t="shared" si="21"/>
        <v>0</v>
      </c>
      <c r="I48" s="123">
        <f t="shared" si="22"/>
        <v>0</v>
      </c>
      <c r="J48" s="123">
        <v>3E-05</v>
      </c>
      <c r="K48" s="123">
        <f t="shared" si="23"/>
        <v>0.0171</v>
      </c>
      <c r="M48" s="124" t="s">
        <v>9</v>
      </c>
      <c r="N48" s="123">
        <f t="shared" si="24"/>
        <v>0</v>
      </c>
      <c r="Y48" s="123">
        <f t="shared" si="25"/>
        <v>0</v>
      </c>
      <c r="Z48" s="123">
        <f t="shared" si="26"/>
        <v>0</v>
      </c>
      <c r="AA48" s="123">
        <f t="shared" si="27"/>
        <v>0</v>
      </c>
      <c r="AC48" s="125">
        <v>20</v>
      </c>
      <c r="AD48" s="125">
        <f>F48*0.192813321647677</f>
        <v>0</v>
      </c>
      <c r="AE48" s="125">
        <f>F48*(1-0.192813321647677)</f>
        <v>0</v>
      </c>
    </row>
    <row r="49" spans="1:31" s="90" customFormat="1" ht="11.25">
      <c r="A49" s="122" t="s">
        <v>38</v>
      </c>
      <c r="B49" s="122" t="s">
        <v>1133</v>
      </c>
      <c r="C49" s="122" t="s">
        <v>2190</v>
      </c>
      <c r="D49" s="122" t="s">
        <v>3459</v>
      </c>
      <c r="E49" s="123">
        <v>570</v>
      </c>
      <c r="F49" s="123">
        <v>0</v>
      </c>
      <c r="G49" s="123">
        <f t="shared" si="20"/>
        <v>0</v>
      </c>
      <c r="H49" s="123">
        <f t="shared" si="21"/>
        <v>0</v>
      </c>
      <c r="I49" s="123">
        <f t="shared" si="22"/>
        <v>0</v>
      </c>
      <c r="J49" s="123">
        <v>0</v>
      </c>
      <c r="K49" s="123">
        <f t="shared" si="23"/>
        <v>0</v>
      </c>
      <c r="M49" s="124" t="s">
        <v>7</v>
      </c>
      <c r="N49" s="123">
        <f t="shared" si="24"/>
        <v>0</v>
      </c>
      <c r="Y49" s="123">
        <f t="shared" si="25"/>
        <v>0</v>
      </c>
      <c r="Z49" s="123">
        <f t="shared" si="26"/>
        <v>0</v>
      </c>
      <c r="AA49" s="123">
        <f t="shared" si="27"/>
        <v>0</v>
      </c>
      <c r="AC49" s="125">
        <v>20</v>
      </c>
      <c r="AD49" s="125">
        <f>F49*0</f>
        <v>0</v>
      </c>
      <c r="AE49" s="125">
        <f>F49*(1-0)</f>
        <v>0</v>
      </c>
    </row>
    <row r="50" spans="1:31" s="90" customFormat="1" ht="11.25">
      <c r="A50" s="122" t="s">
        <v>39</v>
      </c>
      <c r="B50" s="122" t="s">
        <v>1134</v>
      </c>
      <c r="C50" s="122" t="s">
        <v>2191</v>
      </c>
      <c r="D50" s="122" t="s">
        <v>3459</v>
      </c>
      <c r="E50" s="123">
        <v>739.26</v>
      </c>
      <c r="F50" s="123">
        <v>0</v>
      </c>
      <c r="G50" s="123">
        <f t="shared" si="20"/>
        <v>0</v>
      </c>
      <c r="H50" s="123">
        <f t="shared" si="21"/>
        <v>0</v>
      </c>
      <c r="I50" s="123">
        <f t="shared" si="22"/>
        <v>0</v>
      </c>
      <c r="J50" s="123">
        <v>0</v>
      </c>
      <c r="K50" s="123">
        <f t="shared" si="23"/>
        <v>0</v>
      </c>
      <c r="M50" s="124" t="s">
        <v>7</v>
      </c>
      <c r="N50" s="123">
        <f t="shared" si="24"/>
        <v>0</v>
      </c>
      <c r="Y50" s="123">
        <f t="shared" si="25"/>
        <v>0</v>
      </c>
      <c r="Z50" s="123">
        <f t="shared" si="26"/>
        <v>0</v>
      </c>
      <c r="AA50" s="123">
        <f t="shared" si="27"/>
        <v>0</v>
      </c>
      <c r="AC50" s="125">
        <v>20</v>
      </c>
      <c r="AD50" s="125">
        <f>F50*0</f>
        <v>0</v>
      </c>
      <c r="AE50" s="125">
        <f>F50*(1-0)</f>
        <v>0</v>
      </c>
    </row>
    <row r="51" spans="1:31" s="90" customFormat="1" ht="11.25">
      <c r="A51" s="122" t="s">
        <v>40</v>
      </c>
      <c r="B51" s="122" t="s">
        <v>1135</v>
      </c>
      <c r="C51" s="122" t="s">
        <v>2192</v>
      </c>
      <c r="D51" s="122" t="s">
        <v>3459</v>
      </c>
      <c r="E51" s="123">
        <v>228.2</v>
      </c>
      <c r="F51" s="123">
        <v>0</v>
      </c>
      <c r="G51" s="123">
        <f t="shared" si="20"/>
        <v>0</v>
      </c>
      <c r="H51" s="123">
        <f t="shared" si="21"/>
        <v>0</v>
      </c>
      <c r="I51" s="123">
        <f t="shared" si="22"/>
        <v>0</v>
      </c>
      <c r="J51" s="123">
        <v>0</v>
      </c>
      <c r="K51" s="123">
        <f t="shared" si="23"/>
        <v>0</v>
      </c>
      <c r="M51" s="124" t="s">
        <v>7</v>
      </c>
      <c r="N51" s="123">
        <f t="shared" si="24"/>
        <v>0</v>
      </c>
      <c r="Y51" s="123">
        <f t="shared" si="25"/>
        <v>0</v>
      </c>
      <c r="Z51" s="123">
        <f t="shared" si="26"/>
        <v>0</v>
      </c>
      <c r="AA51" s="123">
        <f t="shared" si="27"/>
        <v>0</v>
      </c>
      <c r="AC51" s="125">
        <v>20</v>
      </c>
      <c r="AD51" s="125">
        <f>F51*0</f>
        <v>0</v>
      </c>
      <c r="AE51" s="125">
        <f>F51*(1-0)</f>
        <v>0</v>
      </c>
    </row>
    <row r="52" spans="1:31" s="90" customFormat="1" ht="11.25">
      <c r="A52" s="122" t="s">
        <v>41</v>
      </c>
      <c r="B52" s="122" t="s">
        <v>1136</v>
      </c>
      <c r="C52" s="122" t="s">
        <v>2193</v>
      </c>
      <c r="D52" s="122" t="s">
        <v>3459</v>
      </c>
      <c r="E52" s="123">
        <v>570</v>
      </c>
      <c r="F52" s="123">
        <v>0</v>
      </c>
      <c r="G52" s="123">
        <f t="shared" si="20"/>
        <v>0</v>
      </c>
      <c r="H52" s="123">
        <f t="shared" si="21"/>
        <v>0</v>
      </c>
      <c r="I52" s="123">
        <f t="shared" si="22"/>
        <v>0</v>
      </c>
      <c r="J52" s="123">
        <v>3E-05</v>
      </c>
      <c r="K52" s="123">
        <f t="shared" si="23"/>
        <v>0.0171</v>
      </c>
      <c r="M52" s="124" t="s">
        <v>9</v>
      </c>
      <c r="N52" s="123">
        <f t="shared" si="24"/>
        <v>0</v>
      </c>
      <c r="Y52" s="123">
        <f t="shared" si="25"/>
        <v>0</v>
      </c>
      <c r="Z52" s="123">
        <f t="shared" si="26"/>
        <v>0</v>
      </c>
      <c r="AA52" s="123">
        <f t="shared" si="27"/>
        <v>0</v>
      </c>
      <c r="AC52" s="125">
        <v>20</v>
      </c>
      <c r="AD52" s="125">
        <f>F52*0.0637867647058824</f>
        <v>0</v>
      </c>
      <c r="AE52" s="125">
        <f>F52*(1-0.0637867647058824)</f>
        <v>0</v>
      </c>
    </row>
    <row r="53" spans="1:31" s="90" customFormat="1" ht="11.25">
      <c r="A53" s="122" t="s">
        <v>42</v>
      </c>
      <c r="B53" s="122" t="s">
        <v>1137</v>
      </c>
      <c r="C53" s="122" t="s">
        <v>2194</v>
      </c>
      <c r="D53" s="122" t="s">
        <v>3455</v>
      </c>
      <c r="E53" s="123">
        <v>75</v>
      </c>
      <c r="F53" s="123">
        <v>0</v>
      </c>
      <c r="G53" s="123">
        <f t="shared" si="20"/>
        <v>0</v>
      </c>
      <c r="H53" s="123">
        <f t="shared" si="21"/>
        <v>0</v>
      </c>
      <c r="I53" s="123">
        <f t="shared" si="22"/>
        <v>0</v>
      </c>
      <c r="J53" s="123">
        <v>0</v>
      </c>
      <c r="K53" s="123">
        <f t="shared" si="23"/>
        <v>0</v>
      </c>
      <c r="M53" s="124" t="s">
        <v>8</v>
      </c>
      <c r="N53" s="123">
        <f t="shared" si="24"/>
        <v>0</v>
      </c>
      <c r="Y53" s="123">
        <f t="shared" si="25"/>
        <v>0</v>
      </c>
      <c r="Z53" s="123">
        <f t="shared" si="26"/>
        <v>0</v>
      </c>
      <c r="AA53" s="123">
        <f t="shared" si="27"/>
        <v>0</v>
      </c>
      <c r="AC53" s="125">
        <v>20</v>
      </c>
      <c r="AD53" s="125">
        <f>F53*0</f>
        <v>0</v>
      </c>
      <c r="AE53" s="125">
        <f>F53*(1-0)</f>
        <v>0</v>
      </c>
    </row>
    <row r="54" s="90" customFormat="1" ht="11.25">
      <c r="C54" s="126" t="s">
        <v>2195</v>
      </c>
    </row>
    <row r="55" spans="1:31" s="90" customFormat="1" ht="11.25">
      <c r="A55" s="122" t="s">
        <v>43</v>
      </c>
      <c r="B55" s="122" t="s">
        <v>1138</v>
      </c>
      <c r="C55" s="122" t="s">
        <v>2196</v>
      </c>
      <c r="D55" s="122" t="s">
        <v>3455</v>
      </c>
      <c r="E55" s="123">
        <v>75</v>
      </c>
      <c r="F55" s="123">
        <v>0</v>
      </c>
      <c r="G55" s="123">
        <f>ROUND(E55*AD55,2)</f>
        <v>0</v>
      </c>
      <c r="H55" s="123">
        <f>I55-G55</f>
        <v>0</v>
      </c>
      <c r="I55" s="123">
        <f>ROUND(E55*F55,2)</f>
        <v>0</v>
      </c>
      <c r="J55" s="123">
        <v>0</v>
      </c>
      <c r="K55" s="123">
        <f>E55*J55</f>
        <v>0</v>
      </c>
      <c r="M55" s="124" t="s">
        <v>8</v>
      </c>
      <c r="N55" s="123">
        <f>IF(M55="5",H55,0)</f>
        <v>0</v>
      </c>
      <c r="Y55" s="123">
        <f>IF(AC55=0,I55,0)</f>
        <v>0</v>
      </c>
      <c r="Z55" s="123">
        <f>IF(AC55=14,I55,0)</f>
        <v>0</v>
      </c>
      <c r="AA55" s="123">
        <f>IF(AC55=20,I55,0)</f>
        <v>0</v>
      </c>
      <c r="AC55" s="125">
        <v>20</v>
      </c>
      <c r="AD55" s="125">
        <f>F55*0</f>
        <v>0</v>
      </c>
      <c r="AE55" s="125">
        <f>F55*(1-0)</f>
        <v>0</v>
      </c>
    </row>
    <row r="56" spans="1:31" s="90" customFormat="1" ht="11.25">
      <c r="A56" s="122" t="s">
        <v>44</v>
      </c>
      <c r="B56" s="122" t="s">
        <v>1139</v>
      </c>
      <c r="C56" s="122" t="s">
        <v>2197</v>
      </c>
      <c r="D56" s="122" t="s">
        <v>3460</v>
      </c>
      <c r="E56" s="123">
        <v>124.1621</v>
      </c>
      <c r="F56" s="123">
        <v>0</v>
      </c>
      <c r="G56" s="123">
        <f>ROUND(E56*AD56,2)</f>
        <v>0</v>
      </c>
      <c r="H56" s="123">
        <f>I56-G56</f>
        <v>0</v>
      </c>
      <c r="I56" s="123">
        <f>ROUND(E56*F56,2)</f>
        <v>0</v>
      </c>
      <c r="J56" s="123">
        <v>0</v>
      </c>
      <c r="K56" s="123">
        <f>E56*J56</f>
        <v>0</v>
      </c>
      <c r="M56" s="124" t="s">
        <v>11</v>
      </c>
      <c r="N56" s="123">
        <f>IF(M56="5",H56,0)</f>
        <v>0</v>
      </c>
      <c r="Y56" s="123">
        <f>IF(AC56=0,I56,0)</f>
        <v>0</v>
      </c>
      <c r="Z56" s="123">
        <f>IF(AC56=14,I56,0)</f>
        <v>0</v>
      </c>
      <c r="AA56" s="123">
        <f>IF(AC56=20,I56,0)</f>
        <v>0</v>
      </c>
      <c r="AC56" s="125">
        <v>20</v>
      </c>
      <c r="AD56" s="125">
        <f>F56*0</f>
        <v>0</v>
      </c>
      <c r="AE56" s="125">
        <f>F56*(1-0)</f>
        <v>0</v>
      </c>
    </row>
    <row r="57" spans="1:36" s="90" customFormat="1" ht="11.25">
      <c r="A57" s="127"/>
      <c r="B57" s="128" t="s">
        <v>33</v>
      </c>
      <c r="C57" s="129" t="s">
        <v>2198</v>
      </c>
      <c r="D57" s="130"/>
      <c r="E57" s="130"/>
      <c r="F57" s="130"/>
      <c r="G57" s="121">
        <f>SUM(G58:G77)</f>
        <v>0</v>
      </c>
      <c r="H57" s="121">
        <f>SUM(H58:H77)</f>
        <v>0</v>
      </c>
      <c r="I57" s="121">
        <f>G57+H57</f>
        <v>0</v>
      </c>
      <c r="J57" s="114"/>
      <c r="K57" s="121">
        <f>SUM(K58:K77)</f>
        <v>824.5412491999999</v>
      </c>
      <c r="O57" s="121">
        <f>IF(P57="PR",I57,SUM(N58:N77))</f>
        <v>0</v>
      </c>
      <c r="P57" s="114" t="s">
        <v>3489</v>
      </c>
      <c r="Q57" s="121">
        <f>IF(P57="HS",G57,0)</f>
        <v>0</v>
      </c>
      <c r="R57" s="121">
        <f>IF(P57="HS",H57-O57,0)</f>
        <v>0</v>
      </c>
      <c r="S57" s="121">
        <f>IF(P57="PS",G57,0)</f>
        <v>0</v>
      </c>
      <c r="T57" s="121">
        <f>IF(P57="PS",H57-O57,0)</f>
        <v>0</v>
      </c>
      <c r="U57" s="121">
        <f>IF(P57="MP",G57,0)</f>
        <v>0</v>
      </c>
      <c r="V57" s="121">
        <f>IF(P57="MP",H57-O57,0)</f>
        <v>0</v>
      </c>
      <c r="W57" s="121">
        <f>IF(P57="OM",G57,0)</f>
        <v>0</v>
      </c>
      <c r="X57" s="114"/>
      <c r="AH57" s="121">
        <f>SUM(Y58:Y77)</f>
        <v>0</v>
      </c>
      <c r="AI57" s="121">
        <f>SUM(Z58:Z77)</f>
        <v>0</v>
      </c>
      <c r="AJ57" s="121">
        <f>SUM(AA58:AA77)</f>
        <v>0</v>
      </c>
    </row>
    <row r="58" spans="1:31" s="90" customFormat="1" ht="11.25">
      <c r="A58" s="122" t="s">
        <v>45</v>
      </c>
      <c r="B58" s="122" t="s">
        <v>1140</v>
      </c>
      <c r="C58" s="122" t="s">
        <v>2199</v>
      </c>
      <c r="D58" s="122" t="s">
        <v>3455</v>
      </c>
      <c r="E58" s="123">
        <v>59.05</v>
      </c>
      <c r="F58" s="123">
        <v>0</v>
      </c>
      <c r="G58" s="123">
        <f>ROUND(E58*AD58,2)</f>
        <v>0</v>
      </c>
      <c r="H58" s="123">
        <f>I58-G58</f>
        <v>0</v>
      </c>
      <c r="I58" s="123">
        <f>ROUND(E58*F58,2)</f>
        <v>0</v>
      </c>
      <c r="J58" s="123">
        <v>0.43083</v>
      </c>
      <c r="K58" s="123">
        <f>E58*J58</f>
        <v>25.4405115</v>
      </c>
      <c r="M58" s="124" t="s">
        <v>9</v>
      </c>
      <c r="N58" s="123">
        <f>IF(M58="5",H58,0)</f>
        <v>0</v>
      </c>
      <c r="Y58" s="123">
        <f>IF(AC58=0,I58,0)</f>
        <v>0</v>
      </c>
      <c r="Z58" s="123">
        <f>IF(AC58=14,I58,0)</f>
        <v>0</v>
      </c>
      <c r="AA58" s="123">
        <f>IF(AC58=20,I58,0)</f>
        <v>0</v>
      </c>
      <c r="AC58" s="125">
        <v>20</v>
      </c>
      <c r="AD58" s="125">
        <f>F58*0.525959005333162</f>
        <v>0</v>
      </c>
      <c r="AE58" s="125">
        <f>F58*(1-0.525959005333162)</f>
        <v>0</v>
      </c>
    </row>
    <row r="59" s="90" customFormat="1" ht="11.25">
      <c r="C59" s="126" t="s">
        <v>2200</v>
      </c>
    </row>
    <row r="60" spans="1:31" s="90" customFormat="1" ht="11.25">
      <c r="A60" s="122" t="s">
        <v>46</v>
      </c>
      <c r="B60" s="122" t="s">
        <v>1141</v>
      </c>
      <c r="C60" s="122" t="s">
        <v>2201</v>
      </c>
      <c r="D60" s="122" t="s">
        <v>3455</v>
      </c>
      <c r="E60" s="123">
        <v>29</v>
      </c>
      <c r="F60" s="123">
        <v>0</v>
      </c>
      <c r="G60" s="123">
        <f>ROUND(E60*AD60,2)</f>
        <v>0</v>
      </c>
      <c r="H60" s="123">
        <f>I60-G60</f>
        <v>0</v>
      </c>
      <c r="I60" s="123">
        <f>ROUND(E60*F60,2)</f>
        <v>0</v>
      </c>
      <c r="J60" s="123">
        <v>0.08442</v>
      </c>
      <c r="K60" s="123">
        <f>E60*J60</f>
        <v>2.44818</v>
      </c>
      <c r="M60" s="124" t="s">
        <v>9</v>
      </c>
      <c r="N60" s="123">
        <f>IF(M60="5",H60,0)</f>
        <v>0</v>
      </c>
      <c r="Y60" s="123">
        <f>IF(AC60=0,I60,0)</f>
        <v>0</v>
      </c>
      <c r="Z60" s="123">
        <f>IF(AC60=14,I60,0)</f>
        <v>0</v>
      </c>
      <c r="AA60" s="123">
        <f>IF(AC60=20,I60,0)</f>
        <v>0</v>
      </c>
      <c r="AC60" s="125">
        <v>20</v>
      </c>
      <c r="AD60" s="125">
        <f>F60*0.505684029930364</f>
        <v>0</v>
      </c>
      <c r="AE60" s="125">
        <f>F60*(1-0.505684029930364)</f>
        <v>0</v>
      </c>
    </row>
    <row r="61" spans="1:31" s="90" customFormat="1" ht="11.25">
      <c r="A61" s="122" t="s">
        <v>47</v>
      </c>
      <c r="B61" s="122" t="s">
        <v>1142</v>
      </c>
      <c r="C61" s="122" t="s">
        <v>2202</v>
      </c>
      <c r="D61" s="122" t="s">
        <v>3458</v>
      </c>
      <c r="E61" s="123">
        <v>14.47</v>
      </c>
      <c r="F61" s="123">
        <v>0</v>
      </c>
      <c r="G61" s="123">
        <f>ROUND(E61*AD61,2)</f>
        <v>0</v>
      </c>
      <c r="H61" s="123">
        <f>I61-G61</f>
        <v>0</v>
      </c>
      <c r="I61" s="123">
        <f>ROUND(E61*F61,2)</f>
        <v>0</v>
      </c>
      <c r="J61" s="123">
        <v>2.525</v>
      </c>
      <c r="K61" s="123">
        <f>E61*J61</f>
        <v>36.53675</v>
      </c>
      <c r="M61" s="124" t="s">
        <v>7</v>
      </c>
      <c r="N61" s="123">
        <f>IF(M61="5",H61,0)</f>
        <v>0</v>
      </c>
      <c r="Y61" s="123">
        <f>IF(AC61=0,I61,0)</f>
        <v>0</v>
      </c>
      <c r="Z61" s="123">
        <f>IF(AC61=14,I61,0)</f>
        <v>0</v>
      </c>
      <c r="AA61" s="123">
        <f>IF(AC61=20,I61,0)</f>
        <v>0</v>
      </c>
      <c r="AC61" s="125">
        <v>20</v>
      </c>
      <c r="AD61" s="125">
        <f>F61*0.946977774132699</f>
        <v>0</v>
      </c>
      <c r="AE61" s="125">
        <f>F61*(1-0.946977774132699)</f>
        <v>0</v>
      </c>
    </row>
    <row r="62" spans="1:31" s="90" customFormat="1" ht="11.25">
      <c r="A62" s="122" t="s">
        <v>48</v>
      </c>
      <c r="B62" s="122" t="s">
        <v>1143</v>
      </c>
      <c r="C62" s="122" t="s">
        <v>2203</v>
      </c>
      <c r="D62" s="122" t="s">
        <v>3459</v>
      </c>
      <c r="E62" s="123">
        <v>13.26</v>
      </c>
      <c r="F62" s="123">
        <v>0</v>
      </c>
      <c r="G62" s="123">
        <f>ROUND(E62*AD62,2)</f>
        <v>0</v>
      </c>
      <c r="H62" s="123">
        <f>I62-G62</f>
        <v>0</v>
      </c>
      <c r="I62" s="123">
        <f>ROUND(E62*F62,2)</f>
        <v>0</v>
      </c>
      <c r="J62" s="123">
        <v>0.0364</v>
      </c>
      <c r="K62" s="123">
        <f>E62*J62</f>
        <v>0.48266400000000004</v>
      </c>
      <c r="M62" s="124" t="s">
        <v>7</v>
      </c>
      <c r="N62" s="123">
        <f>IF(M62="5",H62,0)</f>
        <v>0</v>
      </c>
      <c r="Y62" s="123">
        <f>IF(AC62=0,I62,0)</f>
        <v>0</v>
      </c>
      <c r="Z62" s="123">
        <f>IF(AC62=14,I62,0)</f>
        <v>0</v>
      </c>
      <c r="AA62" s="123">
        <f>IF(AC62=20,I62,0)</f>
        <v>0</v>
      </c>
      <c r="AC62" s="125">
        <v>20</v>
      </c>
      <c r="AD62" s="125">
        <f>F62*0.590508288591919</f>
        <v>0</v>
      </c>
      <c r="AE62" s="125">
        <f>F62*(1-0.590508288591919)</f>
        <v>0</v>
      </c>
    </row>
    <row r="63" s="90" customFormat="1" ht="11.25">
      <c r="C63" s="126" t="s">
        <v>2204</v>
      </c>
    </row>
    <row r="64" spans="1:31" s="90" customFormat="1" ht="11.25">
      <c r="A64" s="122" t="s">
        <v>49</v>
      </c>
      <c r="B64" s="122" t="s">
        <v>1144</v>
      </c>
      <c r="C64" s="122" t="s">
        <v>2205</v>
      </c>
      <c r="D64" s="122" t="s">
        <v>3459</v>
      </c>
      <c r="E64" s="123">
        <v>13.26</v>
      </c>
      <c r="F64" s="123">
        <v>0</v>
      </c>
      <c r="G64" s="123">
        <f>ROUND(E64*AD64,2)</f>
        <v>0</v>
      </c>
      <c r="H64" s="123">
        <f>I64-G64</f>
        <v>0</v>
      </c>
      <c r="I64" s="123">
        <f>ROUND(E64*F64,2)</f>
        <v>0</v>
      </c>
      <c r="J64" s="123">
        <v>0</v>
      </c>
      <c r="K64" s="123">
        <f>E64*J64</f>
        <v>0</v>
      </c>
      <c r="M64" s="124" t="s">
        <v>7</v>
      </c>
      <c r="N64" s="123">
        <f>IF(M64="5",H64,0)</f>
        <v>0</v>
      </c>
      <c r="Y64" s="123">
        <f>IF(AC64=0,I64,0)</f>
        <v>0</v>
      </c>
      <c r="Z64" s="123">
        <f>IF(AC64=14,I64,0)</f>
        <v>0</v>
      </c>
      <c r="AA64" s="123">
        <f>IF(AC64=20,I64,0)</f>
        <v>0</v>
      </c>
      <c r="AC64" s="125">
        <v>20</v>
      </c>
      <c r="AD64" s="125">
        <f>F64*0</f>
        <v>0</v>
      </c>
      <c r="AE64" s="125">
        <f>F64*(1-0)</f>
        <v>0</v>
      </c>
    </row>
    <row r="65" spans="1:31" s="90" customFormat="1" ht="11.25">
      <c r="A65" s="122" t="s">
        <v>50</v>
      </c>
      <c r="B65" s="122" t="s">
        <v>1145</v>
      </c>
      <c r="C65" s="122" t="s">
        <v>2206</v>
      </c>
      <c r="D65" s="122" t="s">
        <v>3460</v>
      </c>
      <c r="E65" s="123">
        <v>1.74</v>
      </c>
      <c r="F65" s="123">
        <v>0</v>
      </c>
      <c r="G65" s="123">
        <f>ROUND(E65*AD65,2)</f>
        <v>0</v>
      </c>
      <c r="H65" s="123">
        <f>I65-G65</f>
        <v>0</v>
      </c>
      <c r="I65" s="123">
        <f>ROUND(E65*F65,2)</f>
        <v>0</v>
      </c>
      <c r="J65" s="123">
        <v>1.05702</v>
      </c>
      <c r="K65" s="123">
        <f>E65*J65</f>
        <v>1.8392148000000001</v>
      </c>
      <c r="M65" s="124" t="s">
        <v>7</v>
      </c>
      <c r="N65" s="123">
        <f>IF(M65="5",H65,0)</f>
        <v>0</v>
      </c>
      <c r="Y65" s="123">
        <f>IF(AC65=0,I65,0)</f>
        <v>0</v>
      </c>
      <c r="Z65" s="123">
        <f>IF(AC65=14,I65,0)</f>
        <v>0</v>
      </c>
      <c r="AA65" s="123">
        <f>IF(AC65=20,I65,0)</f>
        <v>0</v>
      </c>
      <c r="AC65" s="125">
        <v>20</v>
      </c>
      <c r="AD65" s="125">
        <f>F65*0.85245259862888</f>
        <v>0</v>
      </c>
      <c r="AE65" s="125">
        <f>F65*(1-0.85245259862888)</f>
        <v>0</v>
      </c>
    </row>
    <row r="66" s="90" customFormat="1" ht="11.25">
      <c r="C66" s="126" t="s">
        <v>2207</v>
      </c>
    </row>
    <row r="67" spans="1:31" s="90" customFormat="1" ht="11.25">
      <c r="A67" s="122" t="s">
        <v>51</v>
      </c>
      <c r="B67" s="122" t="s">
        <v>1146</v>
      </c>
      <c r="C67" s="122" t="s">
        <v>2208</v>
      </c>
      <c r="D67" s="122" t="s">
        <v>3458</v>
      </c>
      <c r="E67" s="123">
        <v>5.1</v>
      </c>
      <c r="F67" s="123">
        <v>0</v>
      </c>
      <c r="G67" s="123">
        <f aca="true" t="shared" si="28" ref="G67:G77">ROUND(E67*AD67,2)</f>
        <v>0</v>
      </c>
      <c r="H67" s="123">
        <f aca="true" t="shared" si="29" ref="H67:H77">I67-G67</f>
        <v>0</v>
      </c>
      <c r="I67" s="123">
        <f aca="true" t="shared" si="30" ref="I67:I77">ROUND(E67*F67,2)</f>
        <v>0</v>
      </c>
      <c r="J67" s="123">
        <v>2.45329</v>
      </c>
      <c r="K67" s="123">
        <f aca="true" t="shared" si="31" ref="K67:K77">E67*J67</f>
        <v>12.511778999999999</v>
      </c>
      <c r="M67" s="124" t="s">
        <v>7</v>
      </c>
      <c r="N67" s="123">
        <f aca="true" t="shared" si="32" ref="N67:N77">IF(M67="5",H67,0)</f>
        <v>0</v>
      </c>
      <c r="Y67" s="123">
        <f aca="true" t="shared" si="33" ref="Y67:Y77">IF(AC67=0,I67,0)</f>
        <v>0</v>
      </c>
      <c r="Z67" s="123">
        <f aca="true" t="shared" si="34" ref="Z67:Z77">IF(AC67=14,I67,0)</f>
        <v>0</v>
      </c>
      <c r="AA67" s="123">
        <f aca="true" t="shared" si="35" ref="AA67:AA77">IF(AC67=20,I67,0)</f>
        <v>0</v>
      </c>
      <c r="AC67" s="125">
        <v>20</v>
      </c>
      <c r="AD67" s="125">
        <f>F67*0.9300097029856</f>
        <v>0</v>
      </c>
      <c r="AE67" s="125">
        <f>F67*(1-0.9300097029856)</f>
        <v>0</v>
      </c>
    </row>
    <row r="68" spans="1:31" s="90" customFormat="1" ht="11.25">
      <c r="A68" s="122" t="s">
        <v>52</v>
      </c>
      <c r="B68" s="122" t="s">
        <v>1147</v>
      </c>
      <c r="C68" s="122" t="s">
        <v>2209</v>
      </c>
      <c r="D68" s="122" t="s">
        <v>3458</v>
      </c>
      <c r="E68" s="123">
        <v>245.54</v>
      </c>
      <c r="F68" s="123">
        <v>0</v>
      </c>
      <c r="G68" s="123">
        <f t="shared" si="28"/>
        <v>0</v>
      </c>
      <c r="H68" s="123">
        <f t="shared" si="29"/>
        <v>0</v>
      </c>
      <c r="I68" s="123">
        <f t="shared" si="30"/>
        <v>0</v>
      </c>
      <c r="J68" s="123">
        <v>2.45329</v>
      </c>
      <c r="K68" s="123">
        <f t="shared" si="31"/>
        <v>602.3808266</v>
      </c>
      <c r="M68" s="124" t="s">
        <v>7</v>
      </c>
      <c r="N68" s="123">
        <f t="shared" si="32"/>
        <v>0</v>
      </c>
      <c r="Y68" s="123">
        <f t="shared" si="33"/>
        <v>0</v>
      </c>
      <c r="Z68" s="123">
        <f t="shared" si="34"/>
        <v>0</v>
      </c>
      <c r="AA68" s="123">
        <f t="shared" si="35"/>
        <v>0</v>
      </c>
      <c r="AC68" s="125">
        <v>20</v>
      </c>
      <c r="AD68" s="125">
        <f>F68*0.929882278160258</f>
        <v>0</v>
      </c>
      <c r="AE68" s="125">
        <f>F68*(1-0.929882278160258)</f>
        <v>0</v>
      </c>
    </row>
    <row r="69" spans="1:31" s="90" customFormat="1" ht="11.25">
      <c r="A69" s="122" t="s">
        <v>53</v>
      </c>
      <c r="B69" s="122" t="s">
        <v>1148</v>
      </c>
      <c r="C69" s="122" t="s">
        <v>2210</v>
      </c>
      <c r="D69" s="122" t="s">
        <v>3459</v>
      </c>
      <c r="E69" s="123">
        <v>137.37</v>
      </c>
      <c r="F69" s="123">
        <v>0</v>
      </c>
      <c r="G69" s="123">
        <f t="shared" si="28"/>
        <v>0</v>
      </c>
      <c r="H69" s="123">
        <f t="shared" si="29"/>
        <v>0</v>
      </c>
      <c r="I69" s="123">
        <f t="shared" si="30"/>
        <v>0</v>
      </c>
      <c r="J69" s="123">
        <v>0.03921</v>
      </c>
      <c r="K69" s="123">
        <f t="shared" si="31"/>
        <v>5.386277700000001</v>
      </c>
      <c r="M69" s="124" t="s">
        <v>7</v>
      </c>
      <c r="N69" s="123">
        <f t="shared" si="32"/>
        <v>0</v>
      </c>
      <c r="Y69" s="123">
        <f t="shared" si="33"/>
        <v>0</v>
      </c>
      <c r="Z69" s="123">
        <f t="shared" si="34"/>
        <v>0</v>
      </c>
      <c r="AA69" s="123">
        <f t="shared" si="35"/>
        <v>0</v>
      </c>
      <c r="AC69" s="125">
        <v>20</v>
      </c>
      <c r="AD69" s="125">
        <f>F69*0.319340573583924</f>
        <v>0</v>
      </c>
      <c r="AE69" s="125">
        <f>F69*(1-0.319340573583924)</f>
        <v>0</v>
      </c>
    </row>
    <row r="70" spans="1:31" s="90" customFormat="1" ht="11.25">
      <c r="A70" s="122" t="s">
        <v>54</v>
      </c>
      <c r="B70" s="122" t="s">
        <v>1149</v>
      </c>
      <c r="C70" s="122" t="s">
        <v>2211</v>
      </c>
      <c r="D70" s="122" t="s">
        <v>3459</v>
      </c>
      <c r="E70" s="123">
        <v>137.37</v>
      </c>
      <c r="F70" s="123">
        <v>0</v>
      </c>
      <c r="G70" s="123">
        <f t="shared" si="28"/>
        <v>0</v>
      </c>
      <c r="H70" s="123">
        <f t="shared" si="29"/>
        <v>0</v>
      </c>
      <c r="I70" s="123">
        <f t="shared" si="30"/>
        <v>0</v>
      </c>
      <c r="J70" s="123">
        <v>0</v>
      </c>
      <c r="K70" s="123">
        <f t="shared" si="31"/>
        <v>0</v>
      </c>
      <c r="M70" s="124" t="s">
        <v>7</v>
      </c>
      <c r="N70" s="123">
        <f t="shared" si="32"/>
        <v>0</v>
      </c>
      <c r="Y70" s="123">
        <f t="shared" si="33"/>
        <v>0</v>
      </c>
      <c r="Z70" s="123">
        <f t="shared" si="34"/>
        <v>0</v>
      </c>
      <c r="AA70" s="123">
        <f t="shared" si="35"/>
        <v>0</v>
      </c>
      <c r="AC70" s="125">
        <v>20</v>
      </c>
      <c r="AD70" s="125">
        <f>F70*0</f>
        <v>0</v>
      </c>
      <c r="AE70" s="125">
        <f>F70*(1-0)</f>
        <v>0</v>
      </c>
    </row>
    <row r="71" spans="1:31" s="90" customFormat="1" ht="11.25">
      <c r="A71" s="122" t="s">
        <v>55</v>
      </c>
      <c r="B71" s="122" t="s">
        <v>1150</v>
      </c>
      <c r="C71" s="122" t="s">
        <v>2212</v>
      </c>
      <c r="D71" s="122" t="s">
        <v>3456</v>
      </c>
      <c r="E71" s="123">
        <v>17</v>
      </c>
      <c r="F71" s="123">
        <v>0</v>
      </c>
      <c r="G71" s="123">
        <f t="shared" si="28"/>
        <v>0</v>
      </c>
      <c r="H71" s="123">
        <f t="shared" si="29"/>
        <v>0</v>
      </c>
      <c r="I71" s="123">
        <f t="shared" si="30"/>
        <v>0</v>
      </c>
      <c r="J71" s="123">
        <v>0.01354</v>
      </c>
      <c r="K71" s="123">
        <f t="shared" si="31"/>
        <v>0.23018</v>
      </c>
      <c r="M71" s="124" t="s">
        <v>7</v>
      </c>
      <c r="N71" s="123">
        <f t="shared" si="32"/>
        <v>0</v>
      </c>
      <c r="Y71" s="123">
        <f t="shared" si="33"/>
        <v>0</v>
      </c>
      <c r="Z71" s="123">
        <f t="shared" si="34"/>
        <v>0</v>
      </c>
      <c r="AA71" s="123">
        <f t="shared" si="35"/>
        <v>0</v>
      </c>
      <c r="AC71" s="125">
        <v>20</v>
      </c>
      <c r="AD71" s="125">
        <f>F71*0.337152845212663</f>
        <v>0</v>
      </c>
      <c r="AE71" s="125">
        <f>F71*(1-0.337152845212663)</f>
        <v>0</v>
      </c>
    </row>
    <row r="72" spans="1:31" s="90" customFormat="1" ht="11.25">
      <c r="A72" s="122" t="s">
        <v>56</v>
      </c>
      <c r="B72" s="122" t="s">
        <v>1151</v>
      </c>
      <c r="C72" s="122" t="s">
        <v>2213</v>
      </c>
      <c r="D72" s="122" t="s">
        <v>3460</v>
      </c>
      <c r="E72" s="123">
        <v>29.46</v>
      </c>
      <c r="F72" s="123">
        <v>0</v>
      </c>
      <c r="G72" s="123">
        <f t="shared" si="28"/>
        <v>0</v>
      </c>
      <c r="H72" s="123">
        <f t="shared" si="29"/>
        <v>0</v>
      </c>
      <c r="I72" s="123">
        <f t="shared" si="30"/>
        <v>0</v>
      </c>
      <c r="J72" s="123">
        <v>1.02116</v>
      </c>
      <c r="K72" s="123">
        <f t="shared" si="31"/>
        <v>30.0833736</v>
      </c>
      <c r="M72" s="124" t="s">
        <v>7</v>
      </c>
      <c r="N72" s="123">
        <f t="shared" si="32"/>
        <v>0</v>
      </c>
      <c r="Y72" s="123">
        <f t="shared" si="33"/>
        <v>0</v>
      </c>
      <c r="Z72" s="123">
        <f t="shared" si="34"/>
        <v>0</v>
      </c>
      <c r="AA72" s="123">
        <f t="shared" si="35"/>
        <v>0</v>
      </c>
      <c r="AC72" s="125">
        <v>20</v>
      </c>
      <c r="AD72" s="125">
        <f>F72*0.700926543200432</f>
        <v>0</v>
      </c>
      <c r="AE72" s="125">
        <f>F72*(1-0.700926543200432)</f>
        <v>0</v>
      </c>
    </row>
    <row r="73" spans="1:31" s="90" customFormat="1" ht="11.25">
      <c r="A73" s="122" t="s">
        <v>57</v>
      </c>
      <c r="B73" s="122" t="s">
        <v>1152</v>
      </c>
      <c r="C73" s="122" t="s">
        <v>2214</v>
      </c>
      <c r="D73" s="122" t="s">
        <v>3458</v>
      </c>
      <c r="E73" s="123">
        <v>40</v>
      </c>
      <c r="F73" s="123">
        <v>0</v>
      </c>
      <c r="G73" s="123">
        <f t="shared" si="28"/>
        <v>0</v>
      </c>
      <c r="H73" s="123">
        <f t="shared" si="29"/>
        <v>0</v>
      </c>
      <c r="I73" s="123">
        <f t="shared" si="30"/>
        <v>0</v>
      </c>
      <c r="J73" s="123">
        <v>2.525</v>
      </c>
      <c r="K73" s="123">
        <f t="shared" si="31"/>
        <v>101</v>
      </c>
      <c r="M73" s="124" t="s">
        <v>7</v>
      </c>
      <c r="N73" s="123">
        <f t="shared" si="32"/>
        <v>0</v>
      </c>
      <c r="Y73" s="123">
        <f t="shared" si="33"/>
        <v>0</v>
      </c>
      <c r="Z73" s="123">
        <f t="shared" si="34"/>
        <v>0</v>
      </c>
      <c r="AA73" s="123">
        <f t="shared" si="35"/>
        <v>0</v>
      </c>
      <c r="AC73" s="125">
        <v>20</v>
      </c>
      <c r="AD73" s="125">
        <f>F73*0.946977774132699</f>
        <v>0</v>
      </c>
      <c r="AE73" s="125">
        <f>F73*(1-0.946977774132699)</f>
        <v>0</v>
      </c>
    </row>
    <row r="74" spans="1:31" s="90" customFormat="1" ht="11.25">
      <c r="A74" s="122" t="s">
        <v>58</v>
      </c>
      <c r="B74" s="122" t="s">
        <v>1153</v>
      </c>
      <c r="C74" s="122" t="s">
        <v>2215</v>
      </c>
      <c r="D74" s="122" t="s">
        <v>3459</v>
      </c>
      <c r="E74" s="123">
        <v>35.28</v>
      </c>
      <c r="F74" s="123">
        <v>0</v>
      </c>
      <c r="G74" s="123">
        <f t="shared" si="28"/>
        <v>0</v>
      </c>
      <c r="H74" s="123">
        <f t="shared" si="29"/>
        <v>0</v>
      </c>
      <c r="I74" s="123">
        <f t="shared" si="30"/>
        <v>0</v>
      </c>
      <c r="J74" s="123">
        <v>0.03925</v>
      </c>
      <c r="K74" s="123">
        <f t="shared" si="31"/>
        <v>1.38474</v>
      </c>
      <c r="M74" s="124" t="s">
        <v>7</v>
      </c>
      <c r="N74" s="123">
        <f t="shared" si="32"/>
        <v>0</v>
      </c>
      <c r="Y74" s="123">
        <f t="shared" si="33"/>
        <v>0</v>
      </c>
      <c r="Z74" s="123">
        <f t="shared" si="34"/>
        <v>0</v>
      </c>
      <c r="AA74" s="123">
        <f t="shared" si="35"/>
        <v>0</v>
      </c>
      <c r="AC74" s="125">
        <v>20</v>
      </c>
      <c r="AD74" s="125">
        <f>F74*0.340225930013634</f>
        <v>0</v>
      </c>
      <c r="AE74" s="125">
        <f>F74*(1-0.340225930013634)</f>
        <v>0</v>
      </c>
    </row>
    <row r="75" spans="1:31" s="90" customFormat="1" ht="11.25">
      <c r="A75" s="122" t="s">
        <v>59</v>
      </c>
      <c r="B75" s="122" t="s">
        <v>1154</v>
      </c>
      <c r="C75" s="122" t="s">
        <v>2216</v>
      </c>
      <c r="D75" s="122" t="s">
        <v>3459</v>
      </c>
      <c r="E75" s="123">
        <v>35.28</v>
      </c>
      <c r="F75" s="123">
        <v>0</v>
      </c>
      <c r="G75" s="123">
        <f t="shared" si="28"/>
        <v>0</v>
      </c>
      <c r="H75" s="123">
        <f t="shared" si="29"/>
        <v>0</v>
      </c>
      <c r="I75" s="123">
        <f t="shared" si="30"/>
        <v>0</v>
      </c>
      <c r="J75" s="123">
        <v>0</v>
      </c>
      <c r="K75" s="123">
        <f t="shared" si="31"/>
        <v>0</v>
      </c>
      <c r="M75" s="124" t="s">
        <v>7</v>
      </c>
      <c r="N75" s="123">
        <f t="shared" si="32"/>
        <v>0</v>
      </c>
      <c r="Y75" s="123">
        <f t="shared" si="33"/>
        <v>0</v>
      </c>
      <c r="Z75" s="123">
        <f t="shared" si="34"/>
        <v>0</v>
      </c>
      <c r="AA75" s="123">
        <f t="shared" si="35"/>
        <v>0</v>
      </c>
      <c r="AC75" s="125">
        <v>20</v>
      </c>
      <c r="AD75" s="125">
        <f>F75*0</f>
        <v>0</v>
      </c>
      <c r="AE75" s="125">
        <f>F75*(1-0)</f>
        <v>0</v>
      </c>
    </row>
    <row r="76" spans="1:31" s="90" customFormat="1" ht="11.25">
      <c r="A76" s="122" t="s">
        <v>60</v>
      </c>
      <c r="B76" s="122" t="s">
        <v>1155</v>
      </c>
      <c r="C76" s="122" t="s">
        <v>2217</v>
      </c>
      <c r="D76" s="122" t="s">
        <v>3460</v>
      </c>
      <c r="E76" s="123">
        <v>4.8</v>
      </c>
      <c r="F76" s="123">
        <v>0</v>
      </c>
      <c r="G76" s="123">
        <f t="shared" si="28"/>
        <v>0</v>
      </c>
      <c r="H76" s="123">
        <f t="shared" si="29"/>
        <v>0</v>
      </c>
      <c r="I76" s="123">
        <f t="shared" si="30"/>
        <v>0</v>
      </c>
      <c r="J76" s="123">
        <v>1.00349</v>
      </c>
      <c r="K76" s="123">
        <f t="shared" si="31"/>
        <v>4.816752</v>
      </c>
      <c r="M76" s="124" t="s">
        <v>7</v>
      </c>
      <c r="N76" s="123">
        <f t="shared" si="32"/>
        <v>0</v>
      </c>
      <c r="Y76" s="123">
        <f t="shared" si="33"/>
        <v>0</v>
      </c>
      <c r="Z76" s="123">
        <f t="shared" si="34"/>
        <v>0</v>
      </c>
      <c r="AA76" s="123">
        <f t="shared" si="35"/>
        <v>0</v>
      </c>
      <c r="AC76" s="125">
        <v>20</v>
      </c>
      <c r="AD76" s="125">
        <f>F76*0.571533219980785</f>
        <v>0</v>
      </c>
      <c r="AE76" s="125">
        <f>F76*(1-0.571533219980785)</f>
        <v>0</v>
      </c>
    </row>
    <row r="77" spans="1:31" s="90" customFormat="1" ht="11.25">
      <c r="A77" s="122" t="s">
        <v>61</v>
      </c>
      <c r="B77" s="122" t="s">
        <v>1139</v>
      </c>
      <c r="C77" s="122" t="s">
        <v>2197</v>
      </c>
      <c r="D77" s="122" t="s">
        <v>3460</v>
      </c>
      <c r="E77" s="123">
        <v>824.54125</v>
      </c>
      <c r="F77" s="123">
        <v>0</v>
      </c>
      <c r="G77" s="123">
        <f t="shared" si="28"/>
        <v>0</v>
      </c>
      <c r="H77" s="123">
        <f t="shared" si="29"/>
        <v>0</v>
      </c>
      <c r="I77" s="123">
        <f t="shared" si="30"/>
        <v>0</v>
      </c>
      <c r="J77" s="123">
        <v>0</v>
      </c>
      <c r="K77" s="123">
        <f t="shared" si="31"/>
        <v>0</v>
      </c>
      <c r="M77" s="124" t="s">
        <v>11</v>
      </c>
      <c r="N77" s="123">
        <f t="shared" si="32"/>
        <v>0</v>
      </c>
      <c r="Y77" s="123">
        <f t="shared" si="33"/>
        <v>0</v>
      </c>
      <c r="Z77" s="123">
        <f t="shared" si="34"/>
        <v>0</v>
      </c>
      <c r="AA77" s="123">
        <f t="shared" si="35"/>
        <v>0</v>
      </c>
      <c r="AC77" s="125">
        <v>20</v>
      </c>
      <c r="AD77" s="125">
        <f>F77*0</f>
        <v>0</v>
      </c>
      <c r="AE77" s="125">
        <f>F77*(1-0)</f>
        <v>0</v>
      </c>
    </row>
    <row r="78" spans="1:36" s="90" customFormat="1" ht="11.25">
      <c r="A78" s="127"/>
      <c r="B78" s="128" t="s">
        <v>37</v>
      </c>
      <c r="C78" s="129" t="s">
        <v>2218</v>
      </c>
      <c r="D78" s="130"/>
      <c r="E78" s="130"/>
      <c r="F78" s="130"/>
      <c r="G78" s="121">
        <f>SUM(G79:G126)</f>
        <v>0</v>
      </c>
      <c r="H78" s="121">
        <f>SUM(H79:H126)</f>
        <v>0</v>
      </c>
      <c r="I78" s="121">
        <f>G78+H78</f>
        <v>0</v>
      </c>
      <c r="J78" s="114"/>
      <c r="K78" s="121">
        <f>SUM(K79:K126)</f>
        <v>634.5589280999999</v>
      </c>
      <c r="O78" s="121">
        <f>IF(P78="PR",I78,SUM(N79:N126))</f>
        <v>0</v>
      </c>
      <c r="P78" s="114" t="s">
        <v>3489</v>
      </c>
      <c r="Q78" s="121">
        <f>IF(P78="HS",G78,0)</f>
        <v>0</v>
      </c>
      <c r="R78" s="121">
        <f>IF(P78="HS",H78-O78,0)</f>
        <v>0</v>
      </c>
      <c r="S78" s="121">
        <f>IF(P78="PS",G78,0)</f>
        <v>0</v>
      </c>
      <c r="T78" s="121">
        <f>IF(P78="PS",H78-O78,0)</f>
        <v>0</v>
      </c>
      <c r="U78" s="121">
        <f>IF(P78="MP",G78,0)</f>
        <v>0</v>
      </c>
      <c r="V78" s="121">
        <f>IF(P78="MP",H78-O78,0)</f>
        <v>0</v>
      </c>
      <c r="W78" s="121">
        <f>IF(P78="OM",G78,0)</f>
        <v>0</v>
      </c>
      <c r="X78" s="114"/>
      <c r="AH78" s="121">
        <f>SUM(Y79:Y126)</f>
        <v>0</v>
      </c>
      <c r="AI78" s="121">
        <f>SUM(Z79:Z126)</f>
        <v>0</v>
      </c>
      <c r="AJ78" s="121">
        <f>SUM(AA79:AA126)</f>
        <v>0</v>
      </c>
    </row>
    <row r="79" spans="1:31" s="90" customFormat="1" ht="11.25">
      <c r="A79" s="122" t="s">
        <v>62</v>
      </c>
      <c r="B79" s="122" t="s">
        <v>1156</v>
      </c>
      <c r="C79" s="122" t="s">
        <v>2219</v>
      </c>
      <c r="D79" s="122" t="s">
        <v>3458</v>
      </c>
      <c r="E79" s="123">
        <v>1.35</v>
      </c>
      <c r="F79" s="123">
        <v>0</v>
      </c>
      <c r="G79" s="123">
        <f>ROUND(E79*AD79,2)</f>
        <v>0</v>
      </c>
      <c r="H79" s="123">
        <f>I79-G79</f>
        <v>0</v>
      </c>
      <c r="I79" s="123">
        <f>ROUND(E79*F79,2)</f>
        <v>0</v>
      </c>
      <c r="J79" s="123">
        <v>1.76716</v>
      </c>
      <c r="K79" s="123">
        <f>E79*J79</f>
        <v>2.385666</v>
      </c>
      <c r="M79" s="124" t="s">
        <v>7</v>
      </c>
      <c r="N79" s="123">
        <f>IF(M79="5",H79,0)</f>
        <v>0</v>
      </c>
      <c r="Y79" s="123">
        <f>IF(AC79=0,I79,0)</f>
        <v>0</v>
      </c>
      <c r="Z79" s="123">
        <f>IF(AC79=14,I79,0)</f>
        <v>0</v>
      </c>
      <c r="AA79" s="123">
        <f>IF(AC79=20,I79,0)</f>
        <v>0</v>
      </c>
      <c r="AC79" s="125">
        <v>20</v>
      </c>
      <c r="AD79" s="125">
        <f>F79*0.77453098069364</f>
        <v>0</v>
      </c>
      <c r="AE79" s="125">
        <f>F79*(1-0.77453098069364)</f>
        <v>0</v>
      </c>
    </row>
    <row r="80" s="90" customFormat="1" ht="11.25">
      <c r="C80" s="126" t="s">
        <v>2220</v>
      </c>
    </row>
    <row r="81" spans="1:31" s="90" customFormat="1" ht="11.25">
      <c r="A81" s="122" t="s">
        <v>63</v>
      </c>
      <c r="B81" s="122" t="s">
        <v>1157</v>
      </c>
      <c r="C81" s="122" t="s">
        <v>2221</v>
      </c>
      <c r="D81" s="122" t="s">
        <v>3459</v>
      </c>
      <c r="E81" s="123">
        <v>18.71</v>
      </c>
      <c r="F81" s="123">
        <v>0</v>
      </c>
      <c r="G81" s="123">
        <f>ROUND(E81*AD81,2)</f>
        <v>0</v>
      </c>
      <c r="H81" s="123">
        <f>I81-G81</f>
        <v>0</v>
      </c>
      <c r="I81" s="123">
        <f>ROUND(E81*F81,2)</f>
        <v>0</v>
      </c>
      <c r="J81" s="123">
        <v>0.546</v>
      </c>
      <c r="K81" s="123">
        <f>E81*J81</f>
        <v>10.215660000000002</v>
      </c>
      <c r="M81" s="124" t="s">
        <v>7</v>
      </c>
      <c r="N81" s="123">
        <f>IF(M81="5",H81,0)</f>
        <v>0</v>
      </c>
      <c r="Y81" s="123">
        <f>IF(AC81=0,I81,0)</f>
        <v>0</v>
      </c>
      <c r="Z81" s="123">
        <f>IF(AC81=14,I81,0)</f>
        <v>0</v>
      </c>
      <c r="AA81" s="123">
        <f>IF(AC81=20,I81,0)</f>
        <v>0</v>
      </c>
      <c r="AC81" s="125">
        <v>20</v>
      </c>
      <c r="AD81" s="125">
        <f>F81*0.615071750717507</f>
        <v>0</v>
      </c>
      <c r="AE81" s="125">
        <f>F81*(1-0.615071750717507)</f>
        <v>0</v>
      </c>
    </row>
    <row r="82" s="90" customFormat="1" ht="11.25">
      <c r="C82" s="126" t="s">
        <v>2222</v>
      </c>
    </row>
    <row r="83" spans="1:31" s="90" customFormat="1" ht="11.25">
      <c r="A83" s="122" t="s">
        <v>64</v>
      </c>
      <c r="B83" s="122" t="s">
        <v>1158</v>
      </c>
      <c r="C83" s="122" t="s">
        <v>2223</v>
      </c>
      <c r="D83" s="122" t="s">
        <v>3458</v>
      </c>
      <c r="E83" s="123">
        <v>21.23</v>
      </c>
      <c r="F83" s="123">
        <v>0</v>
      </c>
      <c r="G83" s="123">
        <f>ROUND(E83*AD83,2)</f>
        <v>0</v>
      </c>
      <c r="H83" s="123">
        <f>I83-G83</f>
        <v>0</v>
      </c>
      <c r="I83" s="123">
        <f>ROUND(E83*F83,2)</f>
        <v>0</v>
      </c>
      <c r="J83" s="123">
        <v>1.07204</v>
      </c>
      <c r="K83" s="123">
        <f>E83*J83</f>
        <v>22.759409200000004</v>
      </c>
      <c r="M83" s="124" t="s">
        <v>9</v>
      </c>
      <c r="N83" s="123">
        <f>IF(M83="5",H83,0)</f>
        <v>0</v>
      </c>
      <c r="Y83" s="123">
        <f>IF(AC83=0,I83,0)</f>
        <v>0</v>
      </c>
      <c r="Z83" s="123">
        <f>IF(AC83=14,I83,0)</f>
        <v>0</v>
      </c>
      <c r="AA83" s="123">
        <f>IF(AC83=20,I83,0)</f>
        <v>0</v>
      </c>
      <c r="AC83" s="125">
        <v>20</v>
      </c>
      <c r="AD83" s="125">
        <f>F83*0.691311329726696</f>
        <v>0</v>
      </c>
      <c r="AE83" s="125">
        <f>F83*(1-0.691311329726696)</f>
        <v>0</v>
      </c>
    </row>
    <row r="84" s="90" customFormat="1" ht="11.25">
      <c r="C84" s="126" t="s">
        <v>2224</v>
      </c>
    </row>
    <row r="85" spans="1:31" s="90" customFormat="1" ht="11.25">
      <c r="A85" s="122" t="s">
        <v>65</v>
      </c>
      <c r="B85" s="122" t="s">
        <v>1159</v>
      </c>
      <c r="C85" s="122" t="s">
        <v>2225</v>
      </c>
      <c r="D85" s="122" t="s">
        <v>3458</v>
      </c>
      <c r="E85" s="123">
        <v>165.51</v>
      </c>
      <c r="F85" s="123">
        <v>0</v>
      </c>
      <c r="G85" s="123">
        <f>ROUND(E85*AD85,2)</f>
        <v>0</v>
      </c>
      <c r="H85" s="123">
        <f>I85-G85</f>
        <v>0</v>
      </c>
      <c r="I85" s="123">
        <f>ROUND(E85*F85,2)</f>
        <v>0</v>
      </c>
      <c r="J85" s="123">
        <v>0.98732</v>
      </c>
      <c r="K85" s="123">
        <f>E85*J85</f>
        <v>163.41133319999997</v>
      </c>
      <c r="M85" s="124" t="s">
        <v>9</v>
      </c>
      <c r="N85" s="123">
        <f>IF(M85="5",H85,0)</f>
        <v>0</v>
      </c>
      <c r="Y85" s="123">
        <f>IF(AC85=0,I85,0)</f>
        <v>0</v>
      </c>
      <c r="Z85" s="123">
        <f>IF(AC85=14,I85,0)</f>
        <v>0</v>
      </c>
      <c r="AA85" s="123">
        <f>IF(AC85=20,I85,0)</f>
        <v>0</v>
      </c>
      <c r="AC85" s="125">
        <v>20</v>
      </c>
      <c r="AD85" s="125">
        <f>F85*0.706649425861852</f>
        <v>0</v>
      </c>
      <c r="AE85" s="125">
        <f>F85*(1-0.706649425861852)</f>
        <v>0</v>
      </c>
    </row>
    <row r="86" s="90" customFormat="1" ht="11.25">
      <c r="C86" s="126" t="s">
        <v>2226</v>
      </c>
    </row>
    <row r="87" spans="1:31" s="90" customFormat="1" ht="11.25">
      <c r="A87" s="122" t="s">
        <v>66</v>
      </c>
      <c r="B87" s="122" t="s">
        <v>1160</v>
      </c>
      <c r="C87" s="122" t="s">
        <v>2227</v>
      </c>
      <c r="D87" s="122" t="s">
        <v>3458</v>
      </c>
      <c r="E87" s="123">
        <v>245.42</v>
      </c>
      <c r="F87" s="123">
        <v>0</v>
      </c>
      <c r="G87" s="123">
        <f>ROUND(E87*AD87,2)</f>
        <v>0</v>
      </c>
      <c r="H87" s="123">
        <f>I87-G87</f>
        <v>0</v>
      </c>
      <c r="I87" s="123">
        <f>ROUND(E87*F87,2)</f>
        <v>0</v>
      </c>
      <c r="J87" s="123">
        <v>0.83575</v>
      </c>
      <c r="K87" s="123">
        <f>E87*J87</f>
        <v>205.10976499999998</v>
      </c>
      <c r="M87" s="124" t="s">
        <v>9</v>
      </c>
      <c r="N87" s="123">
        <f>IF(M87="5",H87,0)</f>
        <v>0</v>
      </c>
      <c r="Y87" s="123">
        <f>IF(AC87=0,I87,0)</f>
        <v>0</v>
      </c>
      <c r="Z87" s="123">
        <f>IF(AC87=14,I87,0)</f>
        <v>0</v>
      </c>
      <c r="AA87" s="123">
        <f>IF(AC87=20,I87,0)</f>
        <v>0</v>
      </c>
      <c r="AC87" s="125">
        <v>20</v>
      </c>
      <c r="AD87" s="125">
        <f>F87*0.702606678387801</f>
        <v>0</v>
      </c>
      <c r="AE87" s="125">
        <f>F87*(1-0.702606678387801)</f>
        <v>0</v>
      </c>
    </row>
    <row r="88" s="90" customFormat="1" ht="11.25">
      <c r="C88" s="126" t="s">
        <v>2228</v>
      </c>
    </row>
    <row r="89" spans="1:31" s="90" customFormat="1" ht="11.25">
      <c r="A89" s="122" t="s">
        <v>67</v>
      </c>
      <c r="B89" s="122" t="s">
        <v>1161</v>
      </c>
      <c r="C89" s="122" t="s">
        <v>2229</v>
      </c>
      <c r="D89" s="122" t="s">
        <v>3456</v>
      </c>
      <c r="E89" s="123">
        <v>2</v>
      </c>
      <c r="F89" s="123">
        <v>0</v>
      </c>
      <c r="G89" s="123">
        <f>ROUND(E89*AD89,2)</f>
        <v>0</v>
      </c>
      <c r="H89" s="123">
        <f>I89-G89</f>
        <v>0</v>
      </c>
      <c r="I89" s="123">
        <f>ROUND(E89*F89,2)</f>
        <v>0</v>
      </c>
      <c r="J89" s="123">
        <v>0.12846</v>
      </c>
      <c r="K89" s="123">
        <f>E89*J89</f>
        <v>0.25692</v>
      </c>
      <c r="M89" s="124" t="s">
        <v>7</v>
      </c>
      <c r="N89" s="123">
        <f>IF(M89="5",H89,0)</f>
        <v>0</v>
      </c>
      <c r="Y89" s="123">
        <f>IF(AC89=0,I89,0)</f>
        <v>0</v>
      </c>
      <c r="Z89" s="123">
        <f>IF(AC89=14,I89,0)</f>
        <v>0</v>
      </c>
      <c r="AA89" s="123">
        <f>IF(AC89=20,I89,0)</f>
        <v>0</v>
      </c>
      <c r="AC89" s="125">
        <v>20</v>
      </c>
      <c r="AD89" s="125">
        <f>F89*0.38374395713204</f>
        <v>0</v>
      </c>
      <c r="AE89" s="125">
        <f>F89*(1-0.38374395713204)</f>
        <v>0</v>
      </c>
    </row>
    <row r="90" s="90" customFormat="1" ht="11.25">
      <c r="C90" s="126" t="s">
        <v>2230</v>
      </c>
    </row>
    <row r="91" spans="1:31" s="90" customFormat="1" ht="11.25">
      <c r="A91" s="122" t="s">
        <v>68</v>
      </c>
      <c r="B91" s="122" t="s">
        <v>1162</v>
      </c>
      <c r="C91" s="122" t="s">
        <v>2231</v>
      </c>
      <c r="D91" s="122" t="s">
        <v>3459</v>
      </c>
      <c r="E91" s="123">
        <v>56.49</v>
      </c>
      <c r="F91" s="123">
        <v>0</v>
      </c>
      <c r="G91" s="123">
        <f>ROUND(E91*AD91,2)</f>
        <v>0</v>
      </c>
      <c r="H91" s="123">
        <f>I91-G91</f>
        <v>0</v>
      </c>
      <c r="I91" s="123">
        <f>ROUND(E91*F91,2)</f>
        <v>0</v>
      </c>
      <c r="J91" s="123">
        <v>0.8501</v>
      </c>
      <c r="K91" s="123">
        <f>E91*J91</f>
        <v>48.022149</v>
      </c>
      <c r="M91" s="124" t="s">
        <v>9</v>
      </c>
      <c r="N91" s="123">
        <f>IF(M91="5",H91,0)</f>
        <v>0</v>
      </c>
      <c r="Y91" s="123">
        <f>IF(AC91=0,I91,0)</f>
        <v>0</v>
      </c>
      <c r="Z91" s="123">
        <f>IF(AC91=14,I91,0)</f>
        <v>0</v>
      </c>
      <c r="AA91" s="123">
        <f>IF(AC91=20,I91,0)</f>
        <v>0</v>
      </c>
      <c r="AC91" s="125">
        <v>20</v>
      </c>
      <c r="AD91" s="125">
        <f>F91*0.567519180671743</f>
        <v>0</v>
      </c>
      <c r="AE91" s="125">
        <f>F91*(1-0.567519180671743)</f>
        <v>0</v>
      </c>
    </row>
    <row r="92" s="90" customFormat="1" ht="11.25">
      <c r="C92" s="126" t="s">
        <v>2232</v>
      </c>
    </row>
    <row r="93" spans="1:31" s="90" customFormat="1" ht="11.25">
      <c r="A93" s="122" t="s">
        <v>69</v>
      </c>
      <c r="B93" s="122" t="s">
        <v>1163</v>
      </c>
      <c r="C93" s="122" t="s">
        <v>2233</v>
      </c>
      <c r="D93" s="122" t="s">
        <v>3459</v>
      </c>
      <c r="E93" s="123">
        <v>5.13</v>
      </c>
      <c r="F93" s="123">
        <v>0</v>
      </c>
      <c r="G93" s="123">
        <f>ROUND(E93*AD93,2)</f>
        <v>0</v>
      </c>
      <c r="H93" s="123">
        <f>I93-G93</f>
        <v>0</v>
      </c>
      <c r="I93" s="123">
        <f>ROUND(E93*F93,2)</f>
        <v>0</v>
      </c>
      <c r="J93" s="123">
        <v>1.2358</v>
      </c>
      <c r="K93" s="123">
        <f>E93*J93</f>
        <v>6.339654</v>
      </c>
      <c r="M93" s="124" t="s">
        <v>9</v>
      </c>
      <c r="N93" s="123">
        <f>IF(M93="5",H93,0)</f>
        <v>0</v>
      </c>
      <c r="Y93" s="123">
        <f>IF(AC93=0,I93,0)</f>
        <v>0</v>
      </c>
      <c r="Z93" s="123">
        <f>IF(AC93=14,I93,0)</f>
        <v>0</v>
      </c>
      <c r="AA93" s="123">
        <f>IF(AC93=20,I93,0)</f>
        <v>0</v>
      </c>
      <c r="AC93" s="125">
        <v>20</v>
      </c>
      <c r="AD93" s="125">
        <f>F93*0.608726379106803</f>
        <v>0</v>
      </c>
      <c r="AE93" s="125">
        <f>F93*(1-0.608726379106803)</f>
        <v>0</v>
      </c>
    </row>
    <row r="94" s="90" customFormat="1" ht="11.25">
      <c r="C94" s="126" t="s">
        <v>2232</v>
      </c>
    </row>
    <row r="95" spans="1:31" s="90" customFormat="1" ht="11.25">
      <c r="A95" s="122" t="s">
        <v>70</v>
      </c>
      <c r="B95" s="122" t="s">
        <v>1164</v>
      </c>
      <c r="C95" s="122" t="s">
        <v>2234</v>
      </c>
      <c r="D95" s="122" t="s">
        <v>3458</v>
      </c>
      <c r="E95" s="123">
        <v>52.1</v>
      </c>
      <c r="F95" s="123">
        <v>0</v>
      </c>
      <c r="G95" s="123">
        <f aca="true" t="shared" si="36" ref="G95:G113">ROUND(E95*AD95,2)</f>
        <v>0</v>
      </c>
      <c r="H95" s="123">
        <f aca="true" t="shared" si="37" ref="H95:H113">I95-G95</f>
        <v>0</v>
      </c>
      <c r="I95" s="123">
        <f aca="true" t="shared" si="38" ref="I95:I113">ROUND(E95*F95,2)</f>
        <v>0</v>
      </c>
      <c r="J95" s="123">
        <v>2.44889</v>
      </c>
      <c r="K95" s="123">
        <f aca="true" t="shared" si="39" ref="K95:K113">E95*J95</f>
        <v>127.587169</v>
      </c>
      <c r="M95" s="124" t="s">
        <v>7</v>
      </c>
      <c r="N95" s="123">
        <f aca="true" t="shared" si="40" ref="N95:N113">IF(M95="5",H95,0)</f>
        <v>0</v>
      </c>
      <c r="Y95" s="123">
        <f aca="true" t="shared" si="41" ref="Y95:Y113">IF(AC95=0,I95,0)</f>
        <v>0</v>
      </c>
      <c r="Z95" s="123">
        <f aca="true" t="shared" si="42" ref="Z95:Z113">IF(AC95=14,I95,0)</f>
        <v>0</v>
      </c>
      <c r="AA95" s="123">
        <f aca="true" t="shared" si="43" ref="AA95:AA113">IF(AC95=20,I95,0)</f>
        <v>0</v>
      </c>
      <c r="AC95" s="125">
        <v>20</v>
      </c>
      <c r="AD95" s="125">
        <f>F95*0.885288845464407</f>
        <v>0</v>
      </c>
      <c r="AE95" s="125">
        <f>F95*(1-0.885288845464407)</f>
        <v>0</v>
      </c>
    </row>
    <row r="96" spans="1:31" s="90" customFormat="1" ht="11.25">
      <c r="A96" s="122" t="s">
        <v>71</v>
      </c>
      <c r="B96" s="122" t="s">
        <v>1165</v>
      </c>
      <c r="C96" s="122" t="s">
        <v>2235</v>
      </c>
      <c r="D96" s="122" t="s">
        <v>3459</v>
      </c>
      <c r="E96" s="123">
        <v>419.22</v>
      </c>
      <c r="F96" s="123">
        <v>0</v>
      </c>
      <c r="G96" s="123">
        <f t="shared" si="36"/>
        <v>0</v>
      </c>
      <c r="H96" s="123">
        <f t="shared" si="37"/>
        <v>0</v>
      </c>
      <c r="I96" s="123">
        <f t="shared" si="38"/>
        <v>0</v>
      </c>
      <c r="J96" s="123">
        <v>0.03935</v>
      </c>
      <c r="K96" s="123">
        <f t="shared" si="39"/>
        <v>16.496307</v>
      </c>
      <c r="M96" s="124" t="s">
        <v>7</v>
      </c>
      <c r="N96" s="123">
        <f t="shared" si="40"/>
        <v>0</v>
      </c>
      <c r="Y96" s="123">
        <f t="shared" si="41"/>
        <v>0</v>
      </c>
      <c r="Z96" s="123">
        <f t="shared" si="42"/>
        <v>0</v>
      </c>
      <c r="AA96" s="123">
        <f t="shared" si="43"/>
        <v>0</v>
      </c>
      <c r="AC96" s="125">
        <v>20</v>
      </c>
      <c r="AD96" s="125">
        <f>F96*0.346785817238397</f>
        <v>0</v>
      </c>
      <c r="AE96" s="125">
        <f>F96*(1-0.346785817238397)</f>
        <v>0</v>
      </c>
    </row>
    <row r="97" spans="1:31" s="90" customFormat="1" ht="11.25">
      <c r="A97" s="122" t="s">
        <v>72</v>
      </c>
      <c r="B97" s="122" t="s">
        <v>1166</v>
      </c>
      <c r="C97" s="122" t="s">
        <v>2236</v>
      </c>
      <c r="D97" s="122" t="s">
        <v>3459</v>
      </c>
      <c r="E97" s="123">
        <v>419.22</v>
      </c>
      <c r="F97" s="123">
        <v>0</v>
      </c>
      <c r="G97" s="123">
        <f t="shared" si="36"/>
        <v>0</v>
      </c>
      <c r="H97" s="123">
        <f t="shared" si="37"/>
        <v>0</v>
      </c>
      <c r="I97" s="123">
        <f t="shared" si="38"/>
        <v>0</v>
      </c>
      <c r="J97" s="123">
        <v>0</v>
      </c>
      <c r="K97" s="123">
        <f t="shared" si="39"/>
        <v>0</v>
      </c>
      <c r="M97" s="124" t="s">
        <v>7</v>
      </c>
      <c r="N97" s="123">
        <f t="shared" si="40"/>
        <v>0</v>
      </c>
      <c r="Y97" s="123">
        <f t="shared" si="41"/>
        <v>0</v>
      </c>
      <c r="Z97" s="123">
        <f t="shared" si="42"/>
        <v>0</v>
      </c>
      <c r="AA97" s="123">
        <f t="shared" si="43"/>
        <v>0</v>
      </c>
      <c r="AC97" s="125">
        <v>20</v>
      </c>
      <c r="AD97" s="125">
        <f>F97*0</f>
        <v>0</v>
      </c>
      <c r="AE97" s="125">
        <f>F97*(1-0)</f>
        <v>0</v>
      </c>
    </row>
    <row r="98" spans="1:31" s="90" customFormat="1" ht="11.25">
      <c r="A98" s="122" t="s">
        <v>73</v>
      </c>
      <c r="B98" s="122" t="s">
        <v>1167</v>
      </c>
      <c r="C98" s="122" t="s">
        <v>2237</v>
      </c>
      <c r="D98" s="122" t="s">
        <v>3460</v>
      </c>
      <c r="E98" s="123">
        <v>6.25</v>
      </c>
      <c r="F98" s="123">
        <v>0</v>
      </c>
      <c r="G98" s="123">
        <f t="shared" si="36"/>
        <v>0</v>
      </c>
      <c r="H98" s="123">
        <f t="shared" si="37"/>
        <v>0</v>
      </c>
      <c r="I98" s="123">
        <f t="shared" si="38"/>
        <v>0</v>
      </c>
      <c r="J98" s="123">
        <v>1.02029</v>
      </c>
      <c r="K98" s="123">
        <f t="shared" si="39"/>
        <v>6.3768125</v>
      </c>
      <c r="M98" s="124" t="s">
        <v>7</v>
      </c>
      <c r="N98" s="123">
        <f t="shared" si="40"/>
        <v>0</v>
      </c>
      <c r="Y98" s="123">
        <f t="shared" si="41"/>
        <v>0</v>
      </c>
      <c r="Z98" s="123">
        <f t="shared" si="42"/>
        <v>0</v>
      </c>
      <c r="AA98" s="123">
        <f t="shared" si="43"/>
        <v>0</v>
      </c>
      <c r="AC98" s="125">
        <v>20</v>
      </c>
      <c r="AD98" s="125">
        <f>F98*0.689276873134377</f>
        <v>0</v>
      </c>
      <c r="AE98" s="125">
        <f>F98*(1-0.689276873134377)</f>
        <v>0</v>
      </c>
    </row>
    <row r="99" spans="1:31" s="90" customFormat="1" ht="11.25">
      <c r="A99" s="122" t="s">
        <v>74</v>
      </c>
      <c r="B99" s="122" t="s">
        <v>1168</v>
      </c>
      <c r="C99" s="122" t="s">
        <v>2238</v>
      </c>
      <c r="D99" s="122" t="s">
        <v>3456</v>
      </c>
      <c r="E99" s="123">
        <v>17</v>
      </c>
      <c r="F99" s="123">
        <v>0</v>
      </c>
      <c r="G99" s="123">
        <f t="shared" si="36"/>
        <v>0</v>
      </c>
      <c r="H99" s="123">
        <f t="shared" si="37"/>
        <v>0</v>
      </c>
      <c r="I99" s="123">
        <f t="shared" si="38"/>
        <v>0</v>
      </c>
      <c r="J99" s="123">
        <v>0.01726</v>
      </c>
      <c r="K99" s="123">
        <f t="shared" si="39"/>
        <v>0.29342</v>
      </c>
      <c r="M99" s="124" t="s">
        <v>7</v>
      </c>
      <c r="N99" s="123">
        <f t="shared" si="40"/>
        <v>0</v>
      </c>
      <c r="Y99" s="123">
        <f t="shared" si="41"/>
        <v>0</v>
      </c>
      <c r="Z99" s="123">
        <f t="shared" si="42"/>
        <v>0</v>
      </c>
      <c r="AA99" s="123">
        <f t="shared" si="43"/>
        <v>0</v>
      </c>
      <c r="AC99" s="125">
        <v>20</v>
      </c>
      <c r="AD99" s="125">
        <f>F99*0.668318626858455</f>
        <v>0</v>
      </c>
      <c r="AE99" s="125">
        <f>F99*(1-0.668318626858455)</f>
        <v>0</v>
      </c>
    </row>
    <row r="100" spans="1:31" s="90" customFormat="1" ht="11.25">
      <c r="A100" s="122" t="s">
        <v>75</v>
      </c>
      <c r="B100" s="122" t="s">
        <v>1169</v>
      </c>
      <c r="C100" s="122" t="s">
        <v>2239</v>
      </c>
      <c r="D100" s="122" t="s">
        <v>3456</v>
      </c>
      <c r="E100" s="123">
        <v>5</v>
      </c>
      <c r="F100" s="123">
        <v>0</v>
      </c>
      <c r="G100" s="123">
        <f t="shared" si="36"/>
        <v>0</v>
      </c>
      <c r="H100" s="123">
        <f t="shared" si="37"/>
        <v>0</v>
      </c>
      <c r="I100" s="123">
        <f t="shared" si="38"/>
        <v>0</v>
      </c>
      <c r="J100" s="123">
        <v>0.02288</v>
      </c>
      <c r="K100" s="123">
        <f t="shared" si="39"/>
        <v>0.1144</v>
      </c>
      <c r="M100" s="124" t="s">
        <v>7</v>
      </c>
      <c r="N100" s="123">
        <f t="shared" si="40"/>
        <v>0</v>
      </c>
      <c r="Y100" s="123">
        <f t="shared" si="41"/>
        <v>0</v>
      </c>
      <c r="Z100" s="123">
        <f t="shared" si="42"/>
        <v>0</v>
      </c>
      <c r="AA100" s="123">
        <f t="shared" si="43"/>
        <v>0</v>
      </c>
      <c r="AC100" s="125">
        <v>20</v>
      </c>
      <c r="AD100" s="125">
        <f>F100*0.665914420992079</f>
        <v>0</v>
      </c>
      <c r="AE100" s="125">
        <f>F100*(1-0.665914420992079)</f>
        <v>0</v>
      </c>
    </row>
    <row r="101" spans="1:31" s="90" customFormat="1" ht="11.25">
      <c r="A101" s="122" t="s">
        <v>76</v>
      </c>
      <c r="B101" s="122" t="s">
        <v>1170</v>
      </c>
      <c r="C101" s="122" t="s">
        <v>2240</v>
      </c>
      <c r="D101" s="122" t="s">
        <v>3456</v>
      </c>
      <c r="E101" s="123">
        <v>41</v>
      </c>
      <c r="F101" s="123">
        <v>0</v>
      </c>
      <c r="G101" s="123">
        <f t="shared" si="36"/>
        <v>0</v>
      </c>
      <c r="H101" s="123">
        <f t="shared" si="37"/>
        <v>0</v>
      </c>
      <c r="I101" s="123">
        <f t="shared" si="38"/>
        <v>0</v>
      </c>
      <c r="J101" s="123">
        <v>0.03637</v>
      </c>
      <c r="K101" s="123">
        <f t="shared" si="39"/>
        <v>1.4911699999999999</v>
      </c>
      <c r="M101" s="124" t="s">
        <v>7</v>
      </c>
      <c r="N101" s="123">
        <f t="shared" si="40"/>
        <v>0</v>
      </c>
      <c r="Y101" s="123">
        <f t="shared" si="41"/>
        <v>0</v>
      </c>
      <c r="Z101" s="123">
        <f t="shared" si="42"/>
        <v>0</v>
      </c>
      <c r="AA101" s="123">
        <f t="shared" si="43"/>
        <v>0</v>
      </c>
      <c r="AC101" s="125">
        <v>20</v>
      </c>
      <c r="AD101" s="125">
        <f>F101*0.77041222346013</f>
        <v>0</v>
      </c>
      <c r="AE101" s="125">
        <f>F101*(1-0.77041222346013)</f>
        <v>0</v>
      </c>
    </row>
    <row r="102" spans="1:31" s="90" customFormat="1" ht="11.25">
      <c r="A102" s="122" t="s">
        <v>77</v>
      </c>
      <c r="B102" s="122" t="s">
        <v>1171</v>
      </c>
      <c r="C102" s="122" t="s">
        <v>2241</v>
      </c>
      <c r="D102" s="122" t="s">
        <v>3456</v>
      </c>
      <c r="E102" s="123">
        <v>128</v>
      </c>
      <c r="F102" s="123">
        <v>0</v>
      </c>
      <c r="G102" s="123">
        <f t="shared" si="36"/>
        <v>0</v>
      </c>
      <c r="H102" s="123">
        <f t="shared" si="37"/>
        <v>0</v>
      </c>
      <c r="I102" s="123">
        <f t="shared" si="38"/>
        <v>0</v>
      </c>
      <c r="J102" s="123">
        <v>0.04529</v>
      </c>
      <c r="K102" s="123">
        <f t="shared" si="39"/>
        <v>5.79712</v>
      </c>
      <c r="M102" s="124" t="s">
        <v>7</v>
      </c>
      <c r="N102" s="123">
        <f t="shared" si="40"/>
        <v>0</v>
      </c>
      <c r="Y102" s="123">
        <f t="shared" si="41"/>
        <v>0</v>
      </c>
      <c r="Z102" s="123">
        <f t="shared" si="42"/>
        <v>0</v>
      </c>
      <c r="AA102" s="123">
        <f t="shared" si="43"/>
        <v>0</v>
      </c>
      <c r="AC102" s="125">
        <v>20</v>
      </c>
      <c r="AD102" s="125">
        <f>F102*0.813085876061655</f>
        <v>0</v>
      </c>
      <c r="AE102" s="125">
        <f>F102*(1-0.813085876061655)</f>
        <v>0</v>
      </c>
    </row>
    <row r="103" spans="1:31" s="90" customFormat="1" ht="11.25">
      <c r="A103" s="122" t="s">
        <v>78</v>
      </c>
      <c r="B103" s="122" t="s">
        <v>1172</v>
      </c>
      <c r="C103" s="122" t="s">
        <v>2242</v>
      </c>
      <c r="D103" s="122" t="s">
        <v>3456</v>
      </c>
      <c r="E103" s="123">
        <v>5</v>
      </c>
      <c r="F103" s="123">
        <v>0</v>
      </c>
      <c r="G103" s="123">
        <f t="shared" si="36"/>
        <v>0</v>
      </c>
      <c r="H103" s="123">
        <f t="shared" si="37"/>
        <v>0</v>
      </c>
      <c r="I103" s="123">
        <f t="shared" si="38"/>
        <v>0</v>
      </c>
      <c r="J103" s="123">
        <v>0.05422</v>
      </c>
      <c r="K103" s="123">
        <f t="shared" si="39"/>
        <v>0.2711</v>
      </c>
      <c r="M103" s="124" t="s">
        <v>7</v>
      </c>
      <c r="N103" s="123">
        <f t="shared" si="40"/>
        <v>0</v>
      </c>
      <c r="Y103" s="123">
        <f t="shared" si="41"/>
        <v>0</v>
      </c>
      <c r="Z103" s="123">
        <f t="shared" si="42"/>
        <v>0</v>
      </c>
      <c r="AA103" s="123">
        <f t="shared" si="43"/>
        <v>0</v>
      </c>
      <c r="AC103" s="125">
        <v>20</v>
      </c>
      <c r="AD103" s="125">
        <f>F103*0.834885415823144</f>
        <v>0</v>
      </c>
      <c r="AE103" s="125">
        <f>F103*(1-0.834885415823144)</f>
        <v>0</v>
      </c>
    </row>
    <row r="104" spans="1:31" s="90" customFormat="1" ht="11.25">
      <c r="A104" s="122" t="s">
        <v>79</v>
      </c>
      <c r="B104" s="122" t="s">
        <v>1173</v>
      </c>
      <c r="C104" s="122" t="s">
        <v>2243</v>
      </c>
      <c r="D104" s="122" t="s">
        <v>3456</v>
      </c>
      <c r="E104" s="123">
        <v>30</v>
      </c>
      <c r="F104" s="123">
        <v>0</v>
      </c>
      <c r="G104" s="123">
        <f t="shared" si="36"/>
        <v>0</v>
      </c>
      <c r="H104" s="123">
        <f t="shared" si="37"/>
        <v>0</v>
      </c>
      <c r="I104" s="123">
        <f t="shared" si="38"/>
        <v>0</v>
      </c>
      <c r="J104" s="123">
        <v>0.06314</v>
      </c>
      <c r="K104" s="123">
        <f t="shared" si="39"/>
        <v>1.8942</v>
      </c>
      <c r="M104" s="124" t="s">
        <v>7</v>
      </c>
      <c r="N104" s="123">
        <f t="shared" si="40"/>
        <v>0</v>
      </c>
      <c r="Y104" s="123">
        <f t="shared" si="41"/>
        <v>0</v>
      </c>
      <c r="Z104" s="123">
        <f t="shared" si="42"/>
        <v>0</v>
      </c>
      <c r="AA104" s="123">
        <f t="shared" si="43"/>
        <v>0</v>
      </c>
      <c r="AC104" s="125">
        <v>20</v>
      </c>
      <c r="AD104" s="125">
        <f>F104*0.863013996821872</f>
        <v>0</v>
      </c>
      <c r="AE104" s="125">
        <f>F104*(1-0.863013996821872)</f>
        <v>0</v>
      </c>
    </row>
    <row r="105" spans="1:31" s="90" customFormat="1" ht="11.25">
      <c r="A105" s="122" t="s">
        <v>80</v>
      </c>
      <c r="B105" s="122" t="s">
        <v>1174</v>
      </c>
      <c r="C105" s="122" t="s">
        <v>2244</v>
      </c>
      <c r="D105" s="122" t="s">
        <v>3456</v>
      </c>
      <c r="E105" s="123">
        <v>7</v>
      </c>
      <c r="F105" s="123">
        <v>0</v>
      </c>
      <c r="G105" s="123">
        <f t="shared" si="36"/>
        <v>0</v>
      </c>
      <c r="H105" s="123">
        <f t="shared" si="37"/>
        <v>0</v>
      </c>
      <c r="I105" s="123">
        <f t="shared" si="38"/>
        <v>0</v>
      </c>
      <c r="J105" s="123">
        <v>0.07207</v>
      </c>
      <c r="K105" s="123">
        <f t="shared" si="39"/>
        <v>0.50449</v>
      </c>
      <c r="M105" s="124" t="s">
        <v>7</v>
      </c>
      <c r="N105" s="123">
        <f t="shared" si="40"/>
        <v>0</v>
      </c>
      <c r="Y105" s="123">
        <f t="shared" si="41"/>
        <v>0</v>
      </c>
      <c r="Z105" s="123">
        <f t="shared" si="42"/>
        <v>0</v>
      </c>
      <c r="AA105" s="123">
        <f t="shared" si="43"/>
        <v>0</v>
      </c>
      <c r="AC105" s="125">
        <v>20</v>
      </c>
      <c r="AD105" s="125">
        <f>F105*0.878521519682741</f>
        <v>0</v>
      </c>
      <c r="AE105" s="125">
        <f>F105*(1-0.878521519682741)</f>
        <v>0</v>
      </c>
    </row>
    <row r="106" spans="1:31" s="90" customFormat="1" ht="11.25">
      <c r="A106" s="122" t="s">
        <v>81</v>
      </c>
      <c r="B106" s="122" t="s">
        <v>1175</v>
      </c>
      <c r="C106" s="122" t="s">
        <v>2245</v>
      </c>
      <c r="D106" s="122" t="s">
        <v>3456</v>
      </c>
      <c r="E106" s="123">
        <v>4</v>
      </c>
      <c r="F106" s="123">
        <v>0</v>
      </c>
      <c r="G106" s="123">
        <f t="shared" si="36"/>
        <v>0</v>
      </c>
      <c r="H106" s="123">
        <f t="shared" si="37"/>
        <v>0</v>
      </c>
      <c r="I106" s="123">
        <f t="shared" si="38"/>
        <v>0</v>
      </c>
      <c r="J106" s="123">
        <v>0.08106</v>
      </c>
      <c r="K106" s="123">
        <f t="shared" si="39"/>
        <v>0.32424</v>
      </c>
      <c r="M106" s="124" t="s">
        <v>7</v>
      </c>
      <c r="N106" s="123">
        <f t="shared" si="40"/>
        <v>0</v>
      </c>
      <c r="Y106" s="123">
        <f t="shared" si="41"/>
        <v>0</v>
      </c>
      <c r="Z106" s="123">
        <f t="shared" si="42"/>
        <v>0</v>
      </c>
      <c r="AA106" s="123">
        <f t="shared" si="43"/>
        <v>0</v>
      </c>
      <c r="AC106" s="125">
        <v>20</v>
      </c>
      <c r="AD106" s="125">
        <f>F106*0.876560436922338</f>
        <v>0</v>
      </c>
      <c r="AE106" s="125">
        <f>F106*(1-0.876560436922338)</f>
        <v>0</v>
      </c>
    </row>
    <row r="107" spans="1:31" s="90" customFormat="1" ht="11.25">
      <c r="A107" s="122" t="s">
        <v>82</v>
      </c>
      <c r="B107" s="122" t="s">
        <v>1176</v>
      </c>
      <c r="C107" s="122" t="s">
        <v>2246</v>
      </c>
      <c r="D107" s="122" t="s">
        <v>3456</v>
      </c>
      <c r="E107" s="123">
        <v>4</v>
      </c>
      <c r="F107" s="123">
        <v>0</v>
      </c>
      <c r="G107" s="123">
        <f t="shared" si="36"/>
        <v>0</v>
      </c>
      <c r="H107" s="123">
        <f t="shared" si="37"/>
        <v>0</v>
      </c>
      <c r="I107" s="123">
        <f t="shared" si="38"/>
        <v>0</v>
      </c>
      <c r="J107" s="123">
        <v>0.08999</v>
      </c>
      <c r="K107" s="123">
        <f t="shared" si="39"/>
        <v>0.35996</v>
      </c>
      <c r="M107" s="124" t="s">
        <v>7</v>
      </c>
      <c r="N107" s="123">
        <f t="shared" si="40"/>
        <v>0</v>
      </c>
      <c r="Y107" s="123">
        <f t="shared" si="41"/>
        <v>0</v>
      </c>
      <c r="Z107" s="123">
        <f t="shared" si="42"/>
        <v>0</v>
      </c>
      <c r="AA107" s="123">
        <f t="shared" si="43"/>
        <v>0</v>
      </c>
      <c r="AC107" s="125">
        <v>20</v>
      </c>
      <c r="AD107" s="125">
        <f>F107*0.891492403498995</f>
        <v>0</v>
      </c>
      <c r="AE107" s="125">
        <f>F107*(1-0.891492403498995)</f>
        <v>0</v>
      </c>
    </row>
    <row r="108" spans="1:31" s="90" customFormat="1" ht="11.25">
      <c r="A108" s="122" t="s">
        <v>83</v>
      </c>
      <c r="B108" s="122" t="s">
        <v>1177</v>
      </c>
      <c r="C108" s="122" t="s">
        <v>2247</v>
      </c>
      <c r="D108" s="122" t="s">
        <v>3456</v>
      </c>
      <c r="E108" s="123">
        <v>4</v>
      </c>
      <c r="F108" s="123">
        <v>0</v>
      </c>
      <c r="G108" s="123">
        <f t="shared" si="36"/>
        <v>0</v>
      </c>
      <c r="H108" s="123">
        <f t="shared" si="37"/>
        <v>0</v>
      </c>
      <c r="I108" s="123">
        <f t="shared" si="38"/>
        <v>0</v>
      </c>
      <c r="J108" s="123">
        <v>0.09891</v>
      </c>
      <c r="K108" s="123">
        <f t="shared" si="39"/>
        <v>0.39564</v>
      </c>
      <c r="M108" s="124" t="s">
        <v>7</v>
      </c>
      <c r="N108" s="123">
        <f t="shared" si="40"/>
        <v>0</v>
      </c>
      <c r="Y108" s="123">
        <f t="shared" si="41"/>
        <v>0</v>
      </c>
      <c r="Z108" s="123">
        <f t="shared" si="42"/>
        <v>0</v>
      </c>
      <c r="AA108" s="123">
        <f t="shared" si="43"/>
        <v>0</v>
      </c>
      <c r="AC108" s="125">
        <v>20</v>
      </c>
      <c r="AD108" s="125">
        <f>F108*0.890552097337235</f>
        <v>0</v>
      </c>
      <c r="AE108" s="125">
        <f>F108*(1-0.890552097337235)</f>
        <v>0</v>
      </c>
    </row>
    <row r="109" spans="1:31" s="90" customFormat="1" ht="11.25">
      <c r="A109" s="122" t="s">
        <v>84</v>
      </c>
      <c r="B109" s="122" t="s">
        <v>1178</v>
      </c>
      <c r="C109" s="122" t="s">
        <v>2248</v>
      </c>
      <c r="D109" s="122" t="s">
        <v>3458</v>
      </c>
      <c r="E109" s="123">
        <v>3.95</v>
      </c>
      <c r="F109" s="123">
        <v>0</v>
      </c>
      <c r="G109" s="123">
        <f t="shared" si="36"/>
        <v>0</v>
      </c>
      <c r="H109" s="123">
        <f t="shared" si="37"/>
        <v>0</v>
      </c>
      <c r="I109" s="123">
        <f t="shared" si="38"/>
        <v>0</v>
      </c>
      <c r="J109" s="123">
        <v>2.44623</v>
      </c>
      <c r="K109" s="123">
        <f t="shared" si="39"/>
        <v>9.6626085</v>
      </c>
      <c r="M109" s="124" t="s">
        <v>7</v>
      </c>
      <c r="N109" s="123">
        <f t="shared" si="40"/>
        <v>0</v>
      </c>
      <c r="Y109" s="123">
        <f t="shared" si="41"/>
        <v>0</v>
      </c>
      <c r="Z109" s="123">
        <f t="shared" si="42"/>
        <v>0</v>
      </c>
      <c r="AA109" s="123">
        <f t="shared" si="43"/>
        <v>0</v>
      </c>
      <c r="AC109" s="125">
        <v>20</v>
      </c>
      <c r="AD109" s="125">
        <f>F109*0.860611431780242</f>
        <v>0</v>
      </c>
      <c r="AE109" s="125">
        <f>F109*(1-0.860611431780242)</f>
        <v>0</v>
      </c>
    </row>
    <row r="110" spans="1:31" s="90" customFormat="1" ht="11.25">
      <c r="A110" s="122" t="s">
        <v>85</v>
      </c>
      <c r="B110" s="122" t="s">
        <v>1179</v>
      </c>
      <c r="C110" s="122" t="s">
        <v>2249</v>
      </c>
      <c r="D110" s="122" t="s">
        <v>3459</v>
      </c>
      <c r="E110" s="123">
        <v>29.65</v>
      </c>
      <c r="F110" s="123">
        <v>0</v>
      </c>
      <c r="G110" s="123">
        <f t="shared" si="36"/>
        <v>0</v>
      </c>
      <c r="H110" s="123">
        <f t="shared" si="37"/>
        <v>0</v>
      </c>
      <c r="I110" s="123">
        <f t="shared" si="38"/>
        <v>0</v>
      </c>
      <c r="J110" s="123">
        <v>0.00884</v>
      </c>
      <c r="K110" s="123">
        <f t="shared" si="39"/>
        <v>0.262106</v>
      </c>
      <c r="M110" s="124" t="s">
        <v>7</v>
      </c>
      <c r="N110" s="123">
        <f t="shared" si="40"/>
        <v>0</v>
      </c>
      <c r="Y110" s="123">
        <f t="shared" si="41"/>
        <v>0</v>
      </c>
      <c r="Z110" s="123">
        <f t="shared" si="42"/>
        <v>0</v>
      </c>
      <c r="AA110" s="123">
        <f t="shared" si="43"/>
        <v>0</v>
      </c>
      <c r="AC110" s="125">
        <v>20</v>
      </c>
      <c r="AD110" s="125">
        <f>F110*0.258300477277443</f>
        <v>0</v>
      </c>
      <c r="AE110" s="125">
        <f>F110*(1-0.258300477277443)</f>
        <v>0</v>
      </c>
    </row>
    <row r="111" spans="1:31" s="90" customFormat="1" ht="11.25">
      <c r="A111" s="122" t="s">
        <v>86</v>
      </c>
      <c r="B111" s="122" t="s">
        <v>1180</v>
      </c>
      <c r="C111" s="122" t="s">
        <v>2250</v>
      </c>
      <c r="D111" s="122" t="s">
        <v>3459</v>
      </c>
      <c r="E111" s="123">
        <v>29.65</v>
      </c>
      <c r="F111" s="123">
        <v>0</v>
      </c>
      <c r="G111" s="123">
        <f t="shared" si="36"/>
        <v>0</v>
      </c>
      <c r="H111" s="123">
        <f t="shared" si="37"/>
        <v>0</v>
      </c>
      <c r="I111" s="123">
        <f t="shared" si="38"/>
        <v>0</v>
      </c>
      <c r="J111" s="123">
        <v>0</v>
      </c>
      <c r="K111" s="123">
        <f t="shared" si="39"/>
        <v>0</v>
      </c>
      <c r="M111" s="124" t="s">
        <v>7</v>
      </c>
      <c r="N111" s="123">
        <f t="shared" si="40"/>
        <v>0</v>
      </c>
      <c r="Y111" s="123">
        <f t="shared" si="41"/>
        <v>0</v>
      </c>
      <c r="Z111" s="123">
        <f t="shared" si="42"/>
        <v>0</v>
      </c>
      <c r="AA111" s="123">
        <f t="shared" si="43"/>
        <v>0</v>
      </c>
      <c r="AC111" s="125">
        <v>20</v>
      </c>
      <c r="AD111" s="125">
        <f>F111*0</f>
        <v>0</v>
      </c>
      <c r="AE111" s="125">
        <f>F111*(1-0)</f>
        <v>0</v>
      </c>
    </row>
    <row r="112" spans="1:31" s="90" customFormat="1" ht="11.25">
      <c r="A112" s="122" t="s">
        <v>87</v>
      </c>
      <c r="B112" s="122" t="s">
        <v>1181</v>
      </c>
      <c r="C112" s="122" t="s">
        <v>2251</v>
      </c>
      <c r="D112" s="122" t="s">
        <v>3460</v>
      </c>
      <c r="E112" s="123">
        <v>0.47</v>
      </c>
      <c r="F112" s="123">
        <v>0</v>
      </c>
      <c r="G112" s="123">
        <f t="shared" si="36"/>
        <v>0</v>
      </c>
      <c r="H112" s="123">
        <f t="shared" si="37"/>
        <v>0</v>
      </c>
      <c r="I112" s="123">
        <f t="shared" si="38"/>
        <v>0</v>
      </c>
      <c r="J112" s="123">
        <v>1.01292</v>
      </c>
      <c r="K112" s="123">
        <f t="shared" si="39"/>
        <v>0.4760724</v>
      </c>
      <c r="M112" s="124" t="s">
        <v>7</v>
      </c>
      <c r="N112" s="123">
        <f t="shared" si="40"/>
        <v>0</v>
      </c>
      <c r="Y112" s="123">
        <f t="shared" si="41"/>
        <v>0</v>
      </c>
      <c r="Z112" s="123">
        <f t="shared" si="42"/>
        <v>0</v>
      </c>
      <c r="AA112" s="123">
        <f t="shared" si="43"/>
        <v>0</v>
      </c>
      <c r="AC112" s="125">
        <v>20</v>
      </c>
      <c r="AD112" s="125">
        <f>F112*0.690347419850404</f>
        <v>0</v>
      </c>
      <c r="AE112" s="125">
        <f>F112*(1-0.690347419850404)</f>
        <v>0</v>
      </c>
    </row>
    <row r="113" spans="1:31" s="90" customFormat="1" ht="11.25">
      <c r="A113" s="122" t="s">
        <v>88</v>
      </c>
      <c r="B113" s="122" t="s">
        <v>1182</v>
      </c>
      <c r="C113" s="122" t="s">
        <v>2252</v>
      </c>
      <c r="D113" s="122" t="s">
        <v>3460</v>
      </c>
      <c r="E113" s="123">
        <v>0.11</v>
      </c>
      <c r="F113" s="123">
        <v>0</v>
      </c>
      <c r="G113" s="123">
        <f t="shared" si="36"/>
        <v>0</v>
      </c>
      <c r="H113" s="123">
        <f t="shared" si="37"/>
        <v>0</v>
      </c>
      <c r="I113" s="123">
        <f t="shared" si="38"/>
        <v>0</v>
      </c>
      <c r="J113" s="123">
        <v>1.09709</v>
      </c>
      <c r="K113" s="123">
        <f t="shared" si="39"/>
        <v>0.12067989999999999</v>
      </c>
      <c r="M113" s="124" t="s">
        <v>7</v>
      </c>
      <c r="N113" s="123">
        <f t="shared" si="40"/>
        <v>0</v>
      </c>
      <c r="Y113" s="123">
        <f t="shared" si="41"/>
        <v>0</v>
      </c>
      <c r="Z113" s="123">
        <f t="shared" si="42"/>
        <v>0</v>
      </c>
      <c r="AA113" s="123">
        <f t="shared" si="43"/>
        <v>0</v>
      </c>
      <c r="AC113" s="125">
        <v>20</v>
      </c>
      <c r="AD113" s="125">
        <f>F113*0.745299061881979</f>
        <v>0</v>
      </c>
      <c r="AE113" s="125">
        <f>F113*(1-0.745299061881979)</f>
        <v>0</v>
      </c>
    </row>
    <row r="114" s="90" customFormat="1" ht="11.25">
      <c r="C114" s="126" t="s">
        <v>2253</v>
      </c>
    </row>
    <row r="115" spans="1:31" s="90" customFormat="1" ht="11.25">
      <c r="A115" s="122" t="s">
        <v>89</v>
      </c>
      <c r="B115" s="122" t="s">
        <v>1183</v>
      </c>
      <c r="C115" s="122" t="s">
        <v>2254</v>
      </c>
      <c r="D115" s="122" t="s">
        <v>3460</v>
      </c>
      <c r="E115" s="123">
        <v>0.13</v>
      </c>
      <c r="F115" s="123">
        <v>0</v>
      </c>
      <c r="G115" s="123">
        <f>ROUND(E115*AD115,2)</f>
        <v>0</v>
      </c>
      <c r="H115" s="123">
        <f>I115-G115</f>
        <v>0</v>
      </c>
      <c r="I115" s="123">
        <f>ROUND(E115*F115,2)</f>
        <v>0</v>
      </c>
      <c r="J115" s="123">
        <v>1.09709</v>
      </c>
      <c r="K115" s="123">
        <f>E115*J115</f>
        <v>0.1426217</v>
      </c>
      <c r="M115" s="124" t="s">
        <v>7</v>
      </c>
      <c r="N115" s="123">
        <f>IF(M115="5",H115,0)</f>
        <v>0</v>
      </c>
      <c r="Y115" s="123">
        <f>IF(AC115=0,I115,0)</f>
        <v>0</v>
      </c>
      <c r="Z115" s="123">
        <f>IF(AC115=14,I115,0)</f>
        <v>0</v>
      </c>
      <c r="AA115" s="123">
        <f>IF(AC115=20,I115,0)</f>
        <v>0</v>
      </c>
      <c r="AC115" s="125">
        <v>20</v>
      </c>
      <c r="AD115" s="125">
        <f>F115*0.745299061881979</f>
        <v>0</v>
      </c>
      <c r="AE115" s="125">
        <f>F115*(1-0.745299061881979)</f>
        <v>0</v>
      </c>
    </row>
    <row r="116" s="90" customFormat="1" ht="11.25">
      <c r="C116" s="126" t="s">
        <v>2255</v>
      </c>
    </row>
    <row r="117" spans="1:31" s="90" customFormat="1" ht="11.25">
      <c r="A117" s="122" t="s">
        <v>90</v>
      </c>
      <c r="B117" s="122" t="s">
        <v>1184</v>
      </c>
      <c r="C117" s="122" t="s">
        <v>2256</v>
      </c>
      <c r="D117" s="122" t="s">
        <v>3460</v>
      </c>
      <c r="E117" s="123">
        <v>0.44</v>
      </c>
      <c r="F117" s="123">
        <v>0</v>
      </c>
      <c r="G117" s="123">
        <f>ROUND(E117*AD117,2)</f>
        <v>0</v>
      </c>
      <c r="H117" s="123">
        <f>I117-G117</f>
        <v>0</v>
      </c>
      <c r="I117" s="123">
        <f>ROUND(E117*F117,2)</f>
        <v>0</v>
      </c>
      <c r="J117" s="123">
        <v>1.09709</v>
      </c>
      <c r="K117" s="123">
        <f>E117*J117</f>
        <v>0.48271959999999997</v>
      </c>
      <c r="M117" s="124" t="s">
        <v>7</v>
      </c>
      <c r="N117" s="123">
        <f>IF(M117="5",H117,0)</f>
        <v>0</v>
      </c>
      <c r="Y117" s="123">
        <f>IF(AC117=0,I117,0)</f>
        <v>0</v>
      </c>
      <c r="Z117" s="123">
        <f>IF(AC117=14,I117,0)</f>
        <v>0</v>
      </c>
      <c r="AA117" s="123">
        <f>IF(AC117=20,I117,0)</f>
        <v>0</v>
      </c>
      <c r="AC117" s="125">
        <v>20</v>
      </c>
      <c r="AD117" s="125">
        <f>F117*0.761918415338982</f>
        <v>0</v>
      </c>
      <c r="AE117" s="125">
        <f>F117*(1-0.761918415338982)</f>
        <v>0</v>
      </c>
    </row>
    <row r="118" s="90" customFormat="1" ht="11.25">
      <c r="C118" s="126" t="s">
        <v>2257</v>
      </c>
    </row>
    <row r="119" spans="1:31" s="90" customFormat="1" ht="11.25">
      <c r="A119" s="122" t="s">
        <v>91</v>
      </c>
      <c r="B119" s="122" t="s">
        <v>1185</v>
      </c>
      <c r="C119" s="122" t="s">
        <v>2258</v>
      </c>
      <c r="D119" s="122" t="s">
        <v>3460</v>
      </c>
      <c r="E119" s="123">
        <v>0.71</v>
      </c>
      <c r="F119" s="123">
        <v>0</v>
      </c>
      <c r="G119" s="123">
        <f>ROUND(E119*AD119,2)</f>
        <v>0</v>
      </c>
      <c r="H119" s="123">
        <f>I119-G119</f>
        <v>0</v>
      </c>
      <c r="I119" s="123">
        <f>ROUND(E119*F119,2)</f>
        <v>0</v>
      </c>
      <c r="J119" s="123">
        <v>1.09709</v>
      </c>
      <c r="K119" s="123">
        <f>E119*J119</f>
        <v>0.7789338999999998</v>
      </c>
      <c r="M119" s="124" t="s">
        <v>7</v>
      </c>
      <c r="N119" s="123">
        <f>IF(M119="5",H119,0)</f>
        <v>0</v>
      </c>
      <c r="Y119" s="123">
        <f>IF(AC119=0,I119,0)</f>
        <v>0</v>
      </c>
      <c r="Z119" s="123">
        <f>IF(AC119=14,I119,0)</f>
        <v>0</v>
      </c>
      <c r="AA119" s="123">
        <f>IF(AC119=20,I119,0)</f>
        <v>0</v>
      </c>
      <c r="AC119" s="125">
        <v>20</v>
      </c>
      <c r="AD119" s="125">
        <f>F119*0.761918415338982</f>
        <v>0</v>
      </c>
      <c r="AE119" s="125">
        <f>F119*(1-0.761918415338982)</f>
        <v>0</v>
      </c>
    </row>
    <row r="120" s="90" customFormat="1" ht="11.25">
      <c r="C120" s="126" t="s">
        <v>2259</v>
      </c>
    </row>
    <row r="121" spans="1:31" s="90" customFormat="1" ht="11.25">
      <c r="A121" s="122" t="s">
        <v>92</v>
      </c>
      <c r="B121" s="122" t="s">
        <v>1186</v>
      </c>
      <c r="C121" s="122" t="s">
        <v>2260</v>
      </c>
      <c r="D121" s="122" t="s">
        <v>3460</v>
      </c>
      <c r="E121" s="123">
        <v>0.25</v>
      </c>
      <c r="F121" s="123">
        <v>0</v>
      </c>
      <c r="G121" s="123">
        <f>ROUND(E121*AD121,2)</f>
        <v>0</v>
      </c>
      <c r="H121" s="123">
        <f>I121-G121</f>
        <v>0</v>
      </c>
      <c r="I121" s="123">
        <f>ROUND(E121*F121,2)</f>
        <v>0</v>
      </c>
      <c r="J121" s="123">
        <v>1.09221</v>
      </c>
      <c r="K121" s="123">
        <f>E121*J121</f>
        <v>0.2730525</v>
      </c>
      <c r="M121" s="124" t="s">
        <v>7</v>
      </c>
      <c r="N121" s="123">
        <f>IF(M121="5",H121,0)</f>
        <v>0</v>
      </c>
      <c r="Y121" s="123">
        <f>IF(AC121=0,I121,0)</f>
        <v>0</v>
      </c>
      <c r="Z121" s="123">
        <f>IF(AC121=14,I121,0)</f>
        <v>0</v>
      </c>
      <c r="AA121" s="123">
        <f>IF(AC121=20,I121,0)</f>
        <v>0</v>
      </c>
      <c r="AC121" s="125">
        <v>20</v>
      </c>
      <c r="AD121" s="125">
        <f>F121*0.781397137002571</f>
        <v>0</v>
      </c>
      <c r="AE121" s="125">
        <f>F121*(1-0.781397137002571)</f>
        <v>0</v>
      </c>
    </row>
    <row r="122" s="90" customFormat="1" ht="11.25">
      <c r="C122" s="126" t="s">
        <v>2261</v>
      </c>
    </row>
    <row r="123" spans="1:31" s="90" customFormat="1" ht="11.25">
      <c r="A123" s="122" t="s">
        <v>93</v>
      </c>
      <c r="B123" s="122" t="s">
        <v>1187</v>
      </c>
      <c r="C123" s="122" t="s">
        <v>2262</v>
      </c>
      <c r="D123" s="122" t="s">
        <v>3460</v>
      </c>
      <c r="E123" s="123">
        <v>1.47</v>
      </c>
      <c r="F123" s="123">
        <v>0</v>
      </c>
      <c r="G123" s="123">
        <f>ROUND(E123*AD123,2)</f>
        <v>0</v>
      </c>
      <c r="H123" s="123">
        <f>I123-G123</f>
        <v>0</v>
      </c>
      <c r="I123" s="123">
        <f>ROUND(E123*F123,2)</f>
        <v>0</v>
      </c>
      <c r="J123" s="123">
        <v>1.09221</v>
      </c>
      <c r="K123" s="123">
        <f>E123*J123</f>
        <v>1.6055486999999997</v>
      </c>
      <c r="M123" s="124" t="s">
        <v>7</v>
      </c>
      <c r="N123" s="123">
        <f>IF(M123="5",H123,0)</f>
        <v>0</v>
      </c>
      <c r="Y123" s="123">
        <f>IF(AC123=0,I123,0)</f>
        <v>0</v>
      </c>
      <c r="Z123" s="123">
        <f>IF(AC123=14,I123,0)</f>
        <v>0</v>
      </c>
      <c r="AA123" s="123">
        <f>IF(AC123=20,I123,0)</f>
        <v>0</v>
      </c>
      <c r="AC123" s="125">
        <v>20</v>
      </c>
      <c r="AD123" s="125">
        <f>F123*0.776041479399219</f>
        <v>0</v>
      </c>
      <c r="AE123" s="125">
        <f>F123*(1-0.776041479399219)</f>
        <v>0</v>
      </c>
    </row>
    <row r="124" s="90" customFormat="1" ht="11.25">
      <c r="C124" s="126" t="s">
        <v>2263</v>
      </c>
    </row>
    <row r="125" spans="1:31" s="90" customFormat="1" ht="11.25">
      <c r="A125" s="131" t="s">
        <v>94</v>
      </c>
      <c r="B125" s="131" t="s">
        <v>1188</v>
      </c>
      <c r="C125" s="131" t="s">
        <v>2264</v>
      </c>
      <c r="D125" s="131" t="s">
        <v>3456</v>
      </c>
      <c r="E125" s="132">
        <v>2</v>
      </c>
      <c r="F125" s="132">
        <v>0</v>
      </c>
      <c r="G125" s="132">
        <f>ROUND(E125*AD125,2)</f>
        <v>0</v>
      </c>
      <c r="H125" s="132">
        <f>I125-G125</f>
        <v>0</v>
      </c>
      <c r="I125" s="132">
        <f>ROUND(E125*F125,2)</f>
        <v>0</v>
      </c>
      <c r="J125" s="132">
        <v>0.174</v>
      </c>
      <c r="K125" s="132">
        <f>E125*J125</f>
        <v>0.348</v>
      </c>
      <c r="M125" s="133" t="s">
        <v>1101</v>
      </c>
      <c r="N125" s="132">
        <f>IF(M125="5",H125,0)</f>
        <v>0</v>
      </c>
      <c r="Y125" s="132">
        <f>IF(AC125=0,I125,0)</f>
        <v>0</v>
      </c>
      <c r="Z125" s="132">
        <f>IF(AC125=14,I125,0)</f>
        <v>0</v>
      </c>
      <c r="AA125" s="132">
        <f>IF(AC125=20,I125,0)</f>
        <v>0</v>
      </c>
      <c r="AC125" s="125">
        <v>20</v>
      </c>
      <c r="AD125" s="125">
        <f>F125*1</f>
        <v>0</v>
      </c>
      <c r="AE125" s="125">
        <f>F125*(1-1)</f>
        <v>0</v>
      </c>
    </row>
    <row r="126" spans="1:31" s="90" customFormat="1" ht="11.25">
      <c r="A126" s="122" t="s">
        <v>95</v>
      </c>
      <c r="B126" s="122" t="s">
        <v>1139</v>
      </c>
      <c r="C126" s="122" t="s">
        <v>2197</v>
      </c>
      <c r="D126" s="122" t="s">
        <v>3460</v>
      </c>
      <c r="E126" s="123">
        <v>634.55893</v>
      </c>
      <c r="F126" s="123">
        <v>0</v>
      </c>
      <c r="G126" s="123">
        <f>ROUND(E126*AD126,2)</f>
        <v>0</v>
      </c>
      <c r="H126" s="123">
        <f>I126-G126</f>
        <v>0</v>
      </c>
      <c r="I126" s="123">
        <f>ROUND(E126*F126,2)</f>
        <v>0</v>
      </c>
      <c r="J126" s="123">
        <v>0</v>
      </c>
      <c r="K126" s="123">
        <f>E126*J126</f>
        <v>0</v>
      </c>
      <c r="M126" s="124" t="s">
        <v>11</v>
      </c>
      <c r="N126" s="123">
        <f>IF(M126="5",H126,0)</f>
        <v>0</v>
      </c>
      <c r="Y126" s="123">
        <f>IF(AC126=0,I126,0)</f>
        <v>0</v>
      </c>
      <c r="Z126" s="123">
        <f>IF(AC126=14,I126,0)</f>
        <v>0</v>
      </c>
      <c r="AA126" s="123">
        <f>IF(AC126=20,I126,0)</f>
        <v>0</v>
      </c>
      <c r="AC126" s="125">
        <v>20</v>
      </c>
      <c r="AD126" s="125">
        <f>F126*0</f>
        <v>0</v>
      </c>
      <c r="AE126" s="125">
        <f>F126*(1-0)</f>
        <v>0</v>
      </c>
    </row>
    <row r="127" spans="1:36" s="90" customFormat="1" ht="11.25">
      <c r="A127" s="127"/>
      <c r="B127" s="128" t="s">
        <v>39</v>
      </c>
      <c r="C127" s="129" t="s">
        <v>2265</v>
      </c>
      <c r="D127" s="130"/>
      <c r="E127" s="130"/>
      <c r="F127" s="130"/>
      <c r="G127" s="121">
        <f>SUM(G128:G132)</f>
        <v>0</v>
      </c>
      <c r="H127" s="121">
        <f>SUM(H128:H132)</f>
        <v>0</v>
      </c>
      <c r="I127" s="121">
        <f>G127+H127</f>
        <v>0</v>
      </c>
      <c r="J127" s="114"/>
      <c r="K127" s="121">
        <f>SUM(K128:K132)</f>
        <v>50.2047118</v>
      </c>
      <c r="O127" s="121">
        <f>IF(P127="PR",I127,SUM(N128:N132))</f>
        <v>0</v>
      </c>
      <c r="P127" s="114" t="s">
        <v>3489</v>
      </c>
      <c r="Q127" s="121">
        <f>IF(P127="HS",G127,0)</f>
        <v>0</v>
      </c>
      <c r="R127" s="121">
        <f>IF(P127="HS",H127-O127,0)</f>
        <v>0</v>
      </c>
      <c r="S127" s="121">
        <f>IF(P127="PS",G127,0)</f>
        <v>0</v>
      </c>
      <c r="T127" s="121">
        <f>IF(P127="PS",H127-O127,0)</f>
        <v>0</v>
      </c>
      <c r="U127" s="121">
        <f>IF(P127="MP",G127,0)</f>
        <v>0</v>
      </c>
      <c r="V127" s="121">
        <f>IF(P127="MP",H127-O127,0)</f>
        <v>0</v>
      </c>
      <c r="W127" s="121">
        <f>IF(P127="OM",G127,0)</f>
        <v>0</v>
      </c>
      <c r="X127" s="114"/>
      <c r="AH127" s="121">
        <f>SUM(Y128:Y132)</f>
        <v>0</v>
      </c>
      <c r="AI127" s="121">
        <f>SUM(Z128:Z132)</f>
        <v>0</v>
      </c>
      <c r="AJ127" s="121">
        <f>SUM(AA128:AA132)</f>
        <v>0</v>
      </c>
    </row>
    <row r="128" spans="1:31" s="90" customFormat="1" ht="11.25">
      <c r="A128" s="122" t="s">
        <v>96</v>
      </c>
      <c r="B128" s="122" t="s">
        <v>1189</v>
      </c>
      <c r="C128" s="122" t="s">
        <v>2266</v>
      </c>
      <c r="D128" s="122" t="s">
        <v>3458</v>
      </c>
      <c r="E128" s="123">
        <v>19.22</v>
      </c>
      <c r="F128" s="123">
        <v>0</v>
      </c>
      <c r="G128" s="123">
        <f>ROUND(E128*AD128,2)</f>
        <v>0</v>
      </c>
      <c r="H128" s="123">
        <f>I128-G128</f>
        <v>0</v>
      </c>
      <c r="I128" s="123">
        <f>ROUND(E128*F128,2)</f>
        <v>0</v>
      </c>
      <c r="J128" s="123">
        <v>2.46121</v>
      </c>
      <c r="K128" s="123">
        <f>E128*J128</f>
        <v>47.3044562</v>
      </c>
      <c r="M128" s="124" t="s">
        <v>7</v>
      </c>
      <c r="N128" s="123">
        <f>IF(M128="5",H128,0)</f>
        <v>0</v>
      </c>
      <c r="Y128" s="123">
        <f>IF(AC128=0,I128,0)</f>
        <v>0</v>
      </c>
      <c r="Z128" s="123">
        <f>IF(AC128=14,I128,0)</f>
        <v>0</v>
      </c>
      <c r="AA128" s="123">
        <f>IF(AC128=20,I128,0)</f>
        <v>0</v>
      </c>
      <c r="AC128" s="125">
        <v>20</v>
      </c>
      <c r="AD128" s="125">
        <f>F128*0.817931627746031</f>
        <v>0</v>
      </c>
      <c r="AE128" s="125">
        <f>F128*(1-0.817931627746031)</f>
        <v>0</v>
      </c>
    </row>
    <row r="129" spans="1:31" s="90" customFormat="1" ht="11.25">
      <c r="A129" s="122" t="s">
        <v>97</v>
      </c>
      <c r="B129" s="122" t="s">
        <v>1190</v>
      </c>
      <c r="C129" s="122" t="s">
        <v>2267</v>
      </c>
      <c r="D129" s="122" t="s">
        <v>3459</v>
      </c>
      <c r="E129" s="123">
        <v>181.06</v>
      </c>
      <c r="F129" s="123">
        <v>0</v>
      </c>
      <c r="G129" s="123">
        <f>ROUND(E129*AD129,2)</f>
        <v>0</v>
      </c>
      <c r="H129" s="123">
        <f>I129-G129</f>
        <v>0</v>
      </c>
      <c r="I129" s="123">
        <f>ROUND(E129*F129,2)</f>
        <v>0</v>
      </c>
      <c r="J129" s="123">
        <v>0.00431</v>
      </c>
      <c r="K129" s="123">
        <f>E129*J129</f>
        <v>0.7803686</v>
      </c>
      <c r="M129" s="124" t="s">
        <v>7</v>
      </c>
      <c r="N129" s="123">
        <f>IF(M129="5",H129,0)</f>
        <v>0</v>
      </c>
      <c r="Y129" s="123">
        <f>IF(AC129=0,I129,0)</f>
        <v>0</v>
      </c>
      <c r="Z129" s="123">
        <f>IF(AC129=14,I129,0)</f>
        <v>0</v>
      </c>
      <c r="AA129" s="123">
        <f>IF(AC129=20,I129,0)</f>
        <v>0</v>
      </c>
      <c r="AC129" s="125">
        <v>20</v>
      </c>
      <c r="AD129" s="125">
        <f>F129*0.123648300720906</f>
        <v>0</v>
      </c>
      <c r="AE129" s="125">
        <f>F129*(1-0.123648300720906)</f>
        <v>0</v>
      </c>
    </row>
    <row r="130" spans="1:31" s="90" customFormat="1" ht="11.25">
      <c r="A130" s="122" t="s">
        <v>98</v>
      </c>
      <c r="B130" s="122" t="s">
        <v>1191</v>
      </c>
      <c r="C130" s="122" t="s">
        <v>2268</v>
      </c>
      <c r="D130" s="122" t="s">
        <v>3459</v>
      </c>
      <c r="E130" s="123">
        <v>181.06</v>
      </c>
      <c r="F130" s="123">
        <v>0</v>
      </c>
      <c r="G130" s="123">
        <f>ROUND(E130*AD130,2)</f>
        <v>0</v>
      </c>
      <c r="H130" s="123">
        <f>I130-G130</f>
        <v>0</v>
      </c>
      <c r="I130" s="123">
        <f>ROUND(E130*F130,2)</f>
        <v>0</v>
      </c>
      <c r="J130" s="123">
        <v>0</v>
      </c>
      <c r="K130" s="123">
        <f>E130*J130</f>
        <v>0</v>
      </c>
      <c r="M130" s="124" t="s">
        <v>7</v>
      </c>
      <c r="N130" s="123">
        <f>IF(M130="5",H130,0)</f>
        <v>0</v>
      </c>
      <c r="Y130" s="123">
        <f>IF(AC130=0,I130,0)</f>
        <v>0</v>
      </c>
      <c r="Z130" s="123">
        <f>IF(AC130=14,I130,0)</f>
        <v>0</v>
      </c>
      <c r="AA130" s="123">
        <f>IF(AC130=20,I130,0)</f>
        <v>0</v>
      </c>
      <c r="AC130" s="125">
        <v>20</v>
      </c>
      <c r="AD130" s="125">
        <f>F130*0</f>
        <v>0</v>
      </c>
      <c r="AE130" s="125">
        <f>F130*(1-0)</f>
        <v>0</v>
      </c>
    </row>
    <row r="131" spans="1:31" s="90" customFormat="1" ht="11.25">
      <c r="A131" s="122" t="s">
        <v>99</v>
      </c>
      <c r="B131" s="122" t="s">
        <v>1192</v>
      </c>
      <c r="C131" s="122" t="s">
        <v>2269</v>
      </c>
      <c r="D131" s="122" t="s">
        <v>3460</v>
      </c>
      <c r="E131" s="123">
        <v>2.31</v>
      </c>
      <c r="F131" s="123">
        <v>0</v>
      </c>
      <c r="G131" s="123">
        <f>ROUND(E131*AD131,2)</f>
        <v>0</v>
      </c>
      <c r="H131" s="123">
        <f>I131-G131</f>
        <v>0</v>
      </c>
      <c r="I131" s="123">
        <f>ROUND(E131*F131,2)</f>
        <v>0</v>
      </c>
      <c r="J131" s="123">
        <v>0.9177</v>
      </c>
      <c r="K131" s="123">
        <f>E131*J131</f>
        <v>2.119887</v>
      </c>
      <c r="M131" s="124" t="s">
        <v>7</v>
      </c>
      <c r="N131" s="123">
        <f>IF(M131="5",H131,0)</f>
        <v>0</v>
      </c>
      <c r="Y131" s="123">
        <f>IF(AC131=0,I131,0)</f>
        <v>0</v>
      </c>
      <c r="Z131" s="123">
        <f>IF(AC131=14,I131,0)</f>
        <v>0</v>
      </c>
      <c r="AA131" s="123">
        <f>IF(AC131=20,I131,0)</f>
        <v>0</v>
      </c>
      <c r="AC131" s="125">
        <v>20</v>
      </c>
      <c r="AD131" s="125">
        <f>F131*0.602132057211499</f>
        <v>0</v>
      </c>
      <c r="AE131" s="125">
        <f>F131*(1-0.602132057211499)</f>
        <v>0</v>
      </c>
    </row>
    <row r="132" spans="1:31" s="90" customFormat="1" ht="11.25">
      <c r="A132" s="122" t="s">
        <v>100</v>
      </c>
      <c r="B132" s="122" t="s">
        <v>1139</v>
      </c>
      <c r="C132" s="122" t="s">
        <v>2197</v>
      </c>
      <c r="D132" s="122" t="s">
        <v>3460</v>
      </c>
      <c r="E132" s="123">
        <v>50.20471</v>
      </c>
      <c r="F132" s="123">
        <v>0</v>
      </c>
      <c r="G132" s="123">
        <f>ROUND(E132*AD132,2)</f>
        <v>0</v>
      </c>
      <c r="H132" s="123">
        <f>I132-G132</f>
        <v>0</v>
      </c>
      <c r="I132" s="123">
        <f>ROUND(E132*F132,2)</f>
        <v>0</v>
      </c>
      <c r="J132" s="123">
        <v>0</v>
      </c>
      <c r="K132" s="123">
        <f>E132*J132</f>
        <v>0</v>
      </c>
      <c r="M132" s="124" t="s">
        <v>11</v>
      </c>
      <c r="N132" s="123">
        <f>IF(M132="5",H132,0)</f>
        <v>0</v>
      </c>
      <c r="Y132" s="123">
        <f>IF(AC132=0,I132,0)</f>
        <v>0</v>
      </c>
      <c r="Z132" s="123">
        <f>IF(AC132=14,I132,0)</f>
        <v>0</v>
      </c>
      <c r="AA132" s="123">
        <f>IF(AC132=20,I132,0)</f>
        <v>0</v>
      </c>
      <c r="AC132" s="125">
        <v>20</v>
      </c>
      <c r="AD132" s="125">
        <f>F132*0</f>
        <v>0</v>
      </c>
      <c r="AE132" s="125">
        <f>F132*(1-0)</f>
        <v>0</v>
      </c>
    </row>
    <row r="133" spans="1:36" s="90" customFormat="1" ht="11.25">
      <c r="A133" s="127"/>
      <c r="B133" s="128" t="s">
        <v>40</v>
      </c>
      <c r="C133" s="129" t="s">
        <v>2270</v>
      </c>
      <c r="D133" s="130"/>
      <c r="E133" s="130"/>
      <c r="F133" s="130"/>
      <c r="G133" s="121">
        <f>SUM(G134:G144)</f>
        <v>0</v>
      </c>
      <c r="H133" s="121">
        <f>SUM(H134:H144)</f>
        <v>0</v>
      </c>
      <c r="I133" s="121">
        <f>G133+H133</f>
        <v>0</v>
      </c>
      <c r="J133" s="114"/>
      <c r="K133" s="121">
        <f>SUM(K134:K144)</f>
        <v>157.95450079999998</v>
      </c>
      <c r="O133" s="121">
        <f>IF(P133="PR",I133,SUM(N134:N144))</f>
        <v>0</v>
      </c>
      <c r="P133" s="114" t="s">
        <v>3489</v>
      </c>
      <c r="Q133" s="121">
        <f>IF(P133="HS",G133,0)</f>
        <v>0</v>
      </c>
      <c r="R133" s="121">
        <f>IF(P133="HS",H133-O133,0)</f>
        <v>0</v>
      </c>
      <c r="S133" s="121">
        <f>IF(P133="PS",G133,0)</f>
        <v>0</v>
      </c>
      <c r="T133" s="121">
        <f>IF(P133="PS",H133-O133,0)</f>
        <v>0</v>
      </c>
      <c r="U133" s="121">
        <f>IF(P133="MP",G133,0)</f>
        <v>0</v>
      </c>
      <c r="V133" s="121">
        <f>IF(P133="MP",H133-O133,0)</f>
        <v>0</v>
      </c>
      <c r="W133" s="121">
        <f>IF(P133="OM",G133,0)</f>
        <v>0</v>
      </c>
      <c r="X133" s="114"/>
      <c r="AH133" s="121">
        <f>SUM(Y134:Y144)</f>
        <v>0</v>
      </c>
      <c r="AI133" s="121">
        <f>SUM(Z134:Z144)</f>
        <v>0</v>
      </c>
      <c r="AJ133" s="121">
        <f>SUM(AA134:AA144)</f>
        <v>0</v>
      </c>
    </row>
    <row r="134" spans="1:31" s="90" customFormat="1" ht="11.25">
      <c r="A134" s="122" t="s">
        <v>101</v>
      </c>
      <c r="B134" s="122" t="s">
        <v>1193</v>
      </c>
      <c r="C134" s="122" t="s">
        <v>2271</v>
      </c>
      <c r="D134" s="122" t="s">
        <v>3459</v>
      </c>
      <c r="E134" s="123">
        <v>374.64</v>
      </c>
      <c r="F134" s="123">
        <v>0</v>
      </c>
      <c r="G134" s="123">
        <f>ROUND(E134*AD134,2)</f>
        <v>0</v>
      </c>
      <c r="H134" s="123">
        <f>I134-G134</f>
        <v>0</v>
      </c>
      <c r="I134" s="123">
        <f>ROUND(E134*F134,2)</f>
        <v>0</v>
      </c>
      <c r="J134" s="123">
        <v>0.124</v>
      </c>
      <c r="K134" s="123">
        <f>E134*J134</f>
        <v>46.45536</v>
      </c>
      <c r="M134" s="124" t="s">
        <v>9</v>
      </c>
      <c r="N134" s="123">
        <f>IF(M134="5",H134,0)</f>
        <v>0</v>
      </c>
      <c r="Y134" s="123">
        <f>IF(AC134=0,I134,0)</f>
        <v>0</v>
      </c>
      <c r="Z134" s="123">
        <f>IF(AC134=14,I134,0)</f>
        <v>0</v>
      </c>
      <c r="AA134" s="123">
        <f>IF(AC134=20,I134,0)</f>
        <v>0</v>
      </c>
      <c r="AC134" s="125">
        <v>20</v>
      </c>
      <c r="AD134" s="125">
        <f>F134*0.675698988071445</f>
        <v>0</v>
      </c>
      <c r="AE134" s="125">
        <f>F134*(1-0.675698988071445)</f>
        <v>0</v>
      </c>
    </row>
    <row r="135" s="90" customFormat="1" ht="11.25">
      <c r="C135" s="126" t="s">
        <v>2272</v>
      </c>
    </row>
    <row r="136" spans="1:31" s="90" customFormat="1" ht="11.25">
      <c r="A136" s="122" t="s">
        <v>102</v>
      </c>
      <c r="B136" s="122" t="s">
        <v>1194</v>
      </c>
      <c r="C136" s="122" t="s">
        <v>2273</v>
      </c>
      <c r="D136" s="122" t="s">
        <v>3459</v>
      </c>
      <c r="E136" s="123">
        <v>34.94</v>
      </c>
      <c r="F136" s="123">
        <v>0</v>
      </c>
      <c r="G136" s="123">
        <f>ROUND(E136*AD136,2)</f>
        <v>0</v>
      </c>
      <c r="H136" s="123">
        <f>I136-G136</f>
        <v>0</v>
      </c>
      <c r="I136" s="123">
        <f>ROUND(E136*F136,2)</f>
        <v>0</v>
      </c>
      <c r="J136" s="123">
        <v>0.07006</v>
      </c>
      <c r="K136" s="123">
        <f>E136*J136</f>
        <v>2.4478964</v>
      </c>
      <c r="M136" s="124" t="s">
        <v>7</v>
      </c>
      <c r="N136" s="123">
        <f>IF(M136="5",H136,0)</f>
        <v>0</v>
      </c>
      <c r="Y136" s="123">
        <f>IF(AC136=0,I136,0)</f>
        <v>0</v>
      </c>
      <c r="Z136" s="123">
        <f>IF(AC136=14,I136,0)</f>
        <v>0</v>
      </c>
      <c r="AA136" s="123">
        <f>IF(AC136=20,I136,0)</f>
        <v>0</v>
      </c>
      <c r="AC136" s="125">
        <v>20</v>
      </c>
      <c r="AD136" s="125">
        <f>F136*0.656322179449215</f>
        <v>0</v>
      </c>
      <c r="AE136" s="125">
        <f>F136*(1-0.656322179449215)</f>
        <v>0</v>
      </c>
    </row>
    <row r="137" spans="1:31" s="90" customFormat="1" ht="11.25">
      <c r="A137" s="122" t="s">
        <v>103</v>
      </c>
      <c r="B137" s="122" t="s">
        <v>1195</v>
      </c>
      <c r="C137" s="122" t="s">
        <v>2274</v>
      </c>
      <c r="D137" s="122" t="s">
        <v>3459</v>
      </c>
      <c r="E137" s="123">
        <v>542.39</v>
      </c>
      <c r="F137" s="123">
        <v>0</v>
      </c>
      <c r="G137" s="123">
        <f>ROUND(E137*AD137,2)</f>
        <v>0</v>
      </c>
      <c r="H137" s="123">
        <f>I137-G137</f>
        <v>0</v>
      </c>
      <c r="I137" s="123">
        <f>ROUND(E137*F137,2)</f>
        <v>0</v>
      </c>
      <c r="J137" s="123">
        <v>0.17646</v>
      </c>
      <c r="K137" s="123">
        <f>E137*J137</f>
        <v>95.7101394</v>
      </c>
      <c r="M137" s="124" t="s">
        <v>7</v>
      </c>
      <c r="N137" s="123">
        <f>IF(M137="5",H137,0)</f>
        <v>0</v>
      </c>
      <c r="Y137" s="123">
        <f>IF(AC137=0,I137,0)</f>
        <v>0</v>
      </c>
      <c r="Z137" s="123">
        <f>IF(AC137=14,I137,0)</f>
        <v>0</v>
      </c>
      <c r="AA137" s="123">
        <f>IF(AC137=20,I137,0)</f>
        <v>0</v>
      </c>
      <c r="AC137" s="125">
        <v>20</v>
      </c>
      <c r="AD137" s="125">
        <f>F137*0.722242729994668</f>
        <v>0</v>
      </c>
      <c r="AE137" s="125">
        <f>F137*(1-0.722242729994668)</f>
        <v>0</v>
      </c>
    </row>
    <row r="138" spans="1:31" s="90" customFormat="1" ht="11.25">
      <c r="A138" s="122" t="s">
        <v>104</v>
      </c>
      <c r="B138" s="122" t="s">
        <v>1196</v>
      </c>
      <c r="C138" s="122" t="s">
        <v>2275</v>
      </c>
      <c r="D138" s="122" t="s">
        <v>3459</v>
      </c>
      <c r="E138" s="123">
        <v>81.4</v>
      </c>
      <c r="F138" s="123">
        <v>0</v>
      </c>
      <c r="G138" s="123">
        <f>ROUND(E138*AD138,2)</f>
        <v>0</v>
      </c>
      <c r="H138" s="123">
        <f>I138-G138</f>
        <v>0</v>
      </c>
      <c r="I138" s="123">
        <f>ROUND(E138*F138,2)</f>
        <v>0</v>
      </c>
      <c r="J138" s="123">
        <v>0.03109</v>
      </c>
      <c r="K138" s="123">
        <f>E138*J138</f>
        <v>2.530726</v>
      </c>
      <c r="M138" s="124" t="s">
        <v>7</v>
      </c>
      <c r="N138" s="123">
        <f>IF(M138="5",H138,0)</f>
        <v>0</v>
      </c>
      <c r="Y138" s="123">
        <f>IF(AC138=0,I138,0)</f>
        <v>0</v>
      </c>
      <c r="Z138" s="123">
        <f>IF(AC138=14,I138,0)</f>
        <v>0</v>
      </c>
      <c r="AA138" s="123">
        <f>IF(AC138=20,I138,0)</f>
        <v>0</v>
      </c>
      <c r="AC138" s="125">
        <v>20</v>
      </c>
      <c r="AD138" s="125">
        <f>F138*0.463587659338629</f>
        <v>0</v>
      </c>
      <c r="AE138" s="125">
        <f>F138*(1-0.463587659338629)</f>
        <v>0</v>
      </c>
    </row>
    <row r="139" s="90" customFormat="1" ht="11.25">
      <c r="C139" s="126" t="s">
        <v>2276</v>
      </c>
    </row>
    <row r="140" spans="1:31" s="90" customFormat="1" ht="11.25">
      <c r="A140" s="122" t="s">
        <v>105</v>
      </c>
      <c r="B140" s="122" t="s">
        <v>1197</v>
      </c>
      <c r="C140" s="122" t="s">
        <v>2277</v>
      </c>
      <c r="D140" s="122" t="s">
        <v>3455</v>
      </c>
      <c r="E140" s="123">
        <v>180.6</v>
      </c>
      <c r="F140" s="123">
        <v>0</v>
      </c>
      <c r="G140" s="123">
        <f>ROUND(E140*AD140,2)</f>
        <v>0</v>
      </c>
      <c r="H140" s="123">
        <f>I140-G140</f>
        <v>0</v>
      </c>
      <c r="I140" s="123">
        <f>ROUND(E140*F140,2)</f>
        <v>0</v>
      </c>
      <c r="J140" s="123">
        <v>0.00102</v>
      </c>
      <c r="K140" s="123">
        <f>E140*J140</f>
        <v>0.18421200000000001</v>
      </c>
      <c r="M140" s="124" t="s">
        <v>7</v>
      </c>
      <c r="N140" s="123">
        <f>IF(M140="5",H140,0)</f>
        <v>0</v>
      </c>
      <c r="Y140" s="123">
        <f>IF(AC140=0,I140,0)</f>
        <v>0</v>
      </c>
      <c r="Z140" s="123">
        <f>IF(AC140=14,I140,0)</f>
        <v>0</v>
      </c>
      <c r="AA140" s="123">
        <f>IF(AC140=20,I140,0)</f>
        <v>0</v>
      </c>
      <c r="AC140" s="125">
        <v>20</v>
      </c>
      <c r="AD140" s="125">
        <f>F140*0.305507318283304</f>
        <v>0</v>
      </c>
      <c r="AE140" s="125">
        <f>F140*(1-0.305507318283304)</f>
        <v>0</v>
      </c>
    </row>
    <row r="141" spans="1:31" s="90" customFormat="1" ht="11.25">
      <c r="A141" s="122" t="s">
        <v>106</v>
      </c>
      <c r="B141" s="122" t="s">
        <v>1198</v>
      </c>
      <c r="C141" s="122" t="s">
        <v>2278</v>
      </c>
      <c r="D141" s="122" t="s">
        <v>3459</v>
      </c>
      <c r="E141" s="123">
        <v>7.54</v>
      </c>
      <c r="F141" s="123">
        <v>0</v>
      </c>
      <c r="G141" s="123">
        <f>ROUND(E141*AD141,2)</f>
        <v>0</v>
      </c>
      <c r="H141" s="123">
        <f>I141-G141</f>
        <v>0</v>
      </c>
      <c r="I141" s="123">
        <f>ROUND(E141*F141,2)</f>
        <v>0</v>
      </c>
      <c r="J141" s="123">
        <v>0.51371</v>
      </c>
      <c r="K141" s="123">
        <f>E141*J141</f>
        <v>3.8733734</v>
      </c>
      <c r="M141" s="124" t="s">
        <v>9</v>
      </c>
      <c r="N141" s="123">
        <f>IF(M141="5",H141,0)</f>
        <v>0</v>
      </c>
      <c r="Y141" s="123">
        <f>IF(AC141=0,I141,0)</f>
        <v>0</v>
      </c>
      <c r="Z141" s="123">
        <f>IF(AC141=14,I141,0)</f>
        <v>0</v>
      </c>
      <c r="AA141" s="123">
        <f>IF(AC141=20,I141,0)</f>
        <v>0</v>
      </c>
      <c r="AC141" s="125">
        <v>20</v>
      </c>
      <c r="AD141" s="125">
        <f>F141*0.645870397732413</f>
        <v>0</v>
      </c>
      <c r="AE141" s="125">
        <f>F141*(1-0.645870397732413)</f>
        <v>0</v>
      </c>
    </row>
    <row r="142" s="90" customFormat="1" ht="11.25">
      <c r="C142" s="126" t="s">
        <v>2279</v>
      </c>
    </row>
    <row r="143" spans="1:31" s="90" customFormat="1" ht="11.25">
      <c r="A143" s="122" t="s">
        <v>107</v>
      </c>
      <c r="B143" s="122" t="s">
        <v>1199</v>
      </c>
      <c r="C143" s="122" t="s">
        <v>2280</v>
      </c>
      <c r="D143" s="122" t="s">
        <v>3459</v>
      </c>
      <c r="E143" s="123">
        <v>33.39</v>
      </c>
      <c r="F143" s="123">
        <v>0</v>
      </c>
      <c r="G143" s="123">
        <f>ROUND(E143*AD143,2)</f>
        <v>0</v>
      </c>
      <c r="H143" s="123">
        <f>I143-G143</f>
        <v>0</v>
      </c>
      <c r="I143" s="123">
        <f>ROUND(E143*F143,2)</f>
        <v>0</v>
      </c>
      <c r="J143" s="123">
        <v>0.20224</v>
      </c>
      <c r="K143" s="123">
        <f>E143*J143</f>
        <v>6.7527936</v>
      </c>
      <c r="M143" s="124" t="s">
        <v>7</v>
      </c>
      <c r="N143" s="123">
        <f>IF(M143="5",H143,0)</f>
        <v>0</v>
      </c>
      <c r="Y143" s="123">
        <f>IF(AC143=0,I143,0)</f>
        <v>0</v>
      </c>
      <c r="Z143" s="123">
        <f>IF(AC143=14,I143,0)</f>
        <v>0</v>
      </c>
      <c r="AA143" s="123">
        <f>IF(AC143=20,I143,0)</f>
        <v>0</v>
      </c>
      <c r="AC143" s="125">
        <v>20</v>
      </c>
      <c r="AD143" s="125">
        <f>F143*0.41351372366068</f>
        <v>0</v>
      </c>
      <c r="AE143" s="125">
        <f>F143*(1-0.41351372366068)</f>
        <v>0</v>
      </c>
    </row>
    <row r="144" spans="1:31" s="90" customFormat="1" ht="11.25">
      <c r="A144" s="122" t="s">
        <v>108</v>
      </c>
      <c r="B144" s="122" t="s">
        <v>1139</v>
      </c>
      <c r="C144" s="122" t="s">
        <v>2197</v>
      </c>
      <c r="D144" s="122" t="s">
        <v>3460</v>
      </c>
      <c r="E144" s="123">
        <v>157.9545</v>
      </c>
      <c r="F144" s="123">
        <v>0</v>
      </c>
      <c r="G144" s="123">
        <f>ROUND(E144*AD144,2)</f>
        <v>0</v>
      </c>
      <c r="H144" s="123">
        <f>I144-G144</f>
        <v>0</v>
      </c>
      <c r="I144" s="123">
        <f>ROUND(E144*F144,2)</f>
        <v>0</v>
      </c>
      <c r="J144" s="123">
        <v>0</v>
      </c>
      <c r="K144" s="123">
        <f>E144*J144</f>
        <v>0</v>
      </c>
      <c r="M144" s="124" t="s">
        <v>11</v>
      </c>
      <c r="N144" s="123">
        <f>IF(M144="5",H144,0)</f>
        <v>0</v>
      </c>
      <c r="Y144" s="123">
        <f>IF(AC144=0,I144,0)</f>
        <v>0</v>
      </c>
      <c r="Z144" s="123">
        <f>IF(AC144=14,I144,0)</f>
        <v>0</v>
      </c>
      <c r="AA144" s="123">
        <f>IF(AC144=20,I144,0)</f>
        <v>0</v>
      </c>
      <c r="AC144" s="125">
        <v>20</v>
      </c>
      <c r="AD144" s="125">
        <f>F144*0</f>
        <v>0</v>
      </c>
      <c r="AE144" s="125">
        <f>F144*(1-0)</f>
        <v>0</v>
      </c>
    </row>
    <row r="145" spans="1:36" s="90" customFormat="1" ht="11.25">
      <c r="A145" s="127"/>
      <c r="B145" s="128" t="s">
        <v>47</v>
      </c>
      <c r="C145" s="129" t="s">
        <v>2281</v>
      </c>
      <c r="D145" s="130"/>
      <c r="E145" s="130"/>
      <c r="F145" s="130"/>
      <c r="G145" s="121">
        <f>SUM(G146:G175)</f>
        <v>0</v>
      </c>
      <c r="H145" s="121">
        <f>SUM(H146:H175)</f>
        <v>0</v>
      </c>
      <c r="I145" s="121">
        <f>G145+H145</f>
        <v>0</v>
      </c>
      <c r="J145" s="114"/>
      <c r="K145" s="121">
        <f>SUM(K146:K175)</f>
        <v>650.0094297999999</v>
      </c>
      <c r="O145" s="121">
        <f>IF(P145="PR",I145,SUM(N146:N175))</f>
        <v>0</v>
      </c>
      <c r="P145" s="114" t="s">
        <v>3489</v>
      </c>
      <c r="Q145" s="121">
        <f>IF(P145="HS",G145,0)</f>
        <v>0</v>
      </c>
      <c r="R145" s="121">
        <f>IF(P145="HS",H145-O145,0)</f>
        <v>0</v>
      </c>
      <c r="S145" s="121">
        <f>IF(P145="PS",G145,0)</f>
        <v>0</v>
      </c>
      <c r="T145" s="121">
        <f>IF(P145="PS",H145-O145,0)</f>
        <v>0</v>
      </c>
      <c r="U145" s="121">
        <f>IF(P145="MP",G145,0)</f>
        <v>0</v>
      </c>
      <c r="V145" s="121">
        <f>IF(P145="MP",H145-O145,0)</f>
        <v>0</v>
      </c>
      <c r="W145" s="121">
        <f>IF(P145="OM",G145,0)</f>
        <v>0</v>
      </c>
      <c r="X145" s="114"/>
      <c r="AH145" s="121">
        <f>SUM(Y146:Y175)</f>
        <v>0</v>
      </c>
      <c r="AI145" s="121">
        <f>SUM(Z146:Z175)</f>
        <v>0</v>
      </c>
      <c r="AJ145" s="121">
        <f>SUM(AA146:AA175)</f>
        <v>0</v>
      </c>
    </row>
    <row r="146" spans="1:31" s="90" customFormat="1" ht="11.25">
      <c r="A146" s="131" t="s">
        <v>109</v>
      </c>
      <c r="B146" s="131" t="s">
        <v>1200</v>
      </c>
      <c r="C146" s="131" t="s">
        <v>2282</v>
      </c>
      <c r="D146" s="131" t="s">
        <v>3461</v>
      </c>
      <c r="E146" s="132">
        <v>0.02</v>
      </c>
      <c r="F146" s="132">
        <v>0</v>
      </c>
      <c r="G146" s="132">
        <f>ROUND(E146*AD146,2)</f>
        <v>0</v>
      </c>
      <c r="H146" s="132">
        <f>I146-G146</f>
        <v>0</v>
      </c>
      <c r="I146" s="132">
        <f>ROUND(E146*F146,2)</f>
        <v>0</v>
      </c>
      <c r="J146" s="132">
        <v>1</v>
      </c>
      <c r="K146" s="132">
        <f>E146*J146</f>
        <v>0.02</v>
      </c>
      <c r="M146" s="133" t="s">
        <v>1101</v>
      </c>
      <c r="N146" s="132">
        <f>IF(M146="5",H146,0)</f>
        <v>0</v>
      </c>
      <c r="Y146" s="132">
        <f>IF(AC146=0,I146,0)</f>
        <v>0</v>
      </c>
      <c r="Z146" s="132">
        <f>IF(AC146=14,I146,0)</f>
        <v>0</v>
      </c>
      <c r="AA146" s="132">
        <f>IF(AC146=20,I146,0)</f>
        <v>0</v>
      </c>
      <c r="AC146" s="125">
        <v>20</v>
      </c>
      <c r="AD146" s="125">
        <f>F146*1</f>
        <v>0</v>
      </c>
      <c r="AE146" s="125">
        <f>F146*(1-1)</f>
        <v>0</v>
      </c>
    </row>
    <row r="147" spans="1:31" s="90" customFormat="1" ht="11.25">
      <c r="A147" s="131" t="s">
        <v>110</v>
      </c>
      <c r="B147" s="131" t="s">
        <v>1201</v>
      </c>
      <c r="C147" s="131" t="s">
        <v>2283</v>
      </c>
      <c r="D147" s="131" t="s">
        <v>3461</v>
      </c>
      <c r="E147" s="132">
        <v>3.96</v>
      </c>
      <c r="F147" s="132">
        <v>0</v>
      </c>
      <c r="G147" s="132">
        <f>ROUND(E147*AD147,2)</f>
        <v>0</v>
      </c>
      <c r="H147" s="132">
        <f>I147-G147</f>
        <v>0</v>
      </c>
      <c r="I147" s="132">
        <f>ROUND(E147*F147,2)</f>
        <v>0</v>
      </c>
      <c r="J147" s="132">
        <v>1</v>
      </c>
      <c r="K147" s="132">
        <f>E147*J147</f>
        <v>3.96</v>
      </c>
      <c r="M147" s="133" t="s">
        <v>1101</v>
      </c>
      <c r="N147" s="132">
        <f>IF(M147="5",H147,0)</f>
        <v>0</v>
      </c>
      <c r="Y147" s="132">
        <f>IF(AC147=0,I147,0)</f>
        <v>0</v>
      </c>
      <c r="Z147" s="132">
        <f>IF(AC147=14,I147,0)</f>
        <v>0</v>
      </c>
      <c r="AA147" s="132">
        <f>IF(AC147=20,I147,0)</f>
        <v>0</v>
      </c>
      <c r="AC147" s="125">
        <v>20</v>
      </c>
      <c r="AD147" s="125">
        <f>F147*1</f>
        <v>0</v>
      </c>
      <c r="AE147" s="125">
        <f>F147*(1-1)</f>
        <v>0</v>
      </c>
    </row>
    <row r="148" spans="1:31" s="90" customFormat="1" ht="11.25">
      <c r="A148" s="122" t="s">
        <v>111</v>
      </c>
      <c r="B148" s="122" t="s">
        <v>1202</v>
      </c>
      <c r="C148" s="122" t="s">
        <v>2284</v>
      </c>
      <c r="D148" s="122" t="s">
        <v>3459</v>
      </c>
      <c r="E148" s="123">
        <v>60.75</v>
      </c>
      <c r="F148" s="123">
        <v>0</v>
      </c>
      <c r="G148" s="123">
        <f>ROUND(E148*AD148,2)</f>
        <v>0</v>
      </c>
      <c r="H148" s="123">
        <f>I148-G148</f>
        <v>0</v>
      </c>
      <c r="I148" s="123">
        <f>ROUND(E148*F148,2)</f>
        <v>0</v>
      </c>
      <c r="J148" s="123">
        <v>0.36632</v>
      </c>
      <c r="K148" s="123">
        <f>E148*J148</f>
        <v>22.25394</v>
      </c>
      <c r="M148" s="124" t="s">
        <v>9</v>
      </c>
      <c r="N148" s="123">
        <f>IF(M148="5",H148,0)</f>
        <v>0</v>
      </c>
      <c r="Y148" s="123">
        <f>IF(AC148=0,I148,0)</f>
        <v>0</v>
      </c>
      <c r="Z148" s="123">
        <f>IF(AC148=14,I148,0)</f>
        <v>0</v>
      </c>
      <c r="AA148" s="123">
        <f>IF(AC148=20,I148,0)</f>
        <v>0</v>
      </c>
      <c r="AC148" s="125">
        <v>20</v>
      </c>
      <c r="AD148" s="125">
        <f>F148*0.670934231265224</f>
        <v>0</v>
      </c>
      <c r="AE148" s="125">
        <f>F148*(1-0.670934231265224)</f>
        <v>0</v>
      </c>
    </row>
    <row r="149" s="90" customFormat="1" ht="11.25">
      <c r="C149" s="126" t="s">
        <v>2285</v>
      </c>
    </row>
    <row r="150" spans="1:31" s="90" customFormat="1" ht="11.25">
      <c r="A150" s="122" t="s">
        <v>112</v>
      </c>
      <c r="B150" s="122" t="s">
        <v>1203</v>
      </c>
      <c r="C150" s="122" t="s">
        <v>2286</v>
      </c>
      <c r="D150" s="122" t="s">
        <v>3459</v>
      </c>
      <c r="E150" s="123">
        <v>118.14</v>
      </c>
      <c r="F150" s="123">
        <v>0</v>
      </c>
      <c r="G150" s="123">
        <f>ROUND(E150*AD150,2)</f>
        <v>0</v>
      </c>
      <c r="H150" s="123">
        <f>I150-G150</f>
        <v>0</v>
      </c>
      <c r="I150" s="123">
        <f>ROUND(E150*F150,2)</f>
        <v>0</v>
      </c>
      <c r="J150" s="123">
        <v>0.43314</v>
      </c>
      <c r="K150" s="123">
        <f>E150*J150</f>
        <v>51.1711596</v>
      </c>
      <c r="M150" s="124" t="s">
        <v>9</v>
      </c>
      <c r="N150" s="123">
        <f>IF(M150="5",H150,0)</f>
        <v>0</v>
      </c>
      <c r="Y150" s="123">
        <f>IF(AC150=0,I150,0)</f>
        <v>0</v>
      </c>
      <c r="Z150" s="123">
        <f>IF(AC150=14,I150,0)</f>
        <v>0</v>
      </c>
      <c r="AA150" s="123">
        <f>IF(AC150=20,I150,0)</f>
        <v>0</v>
      </c>
      <c r="AC150" s="125">
        <v>20</v>
      </c>
      <c r="AD150" s="125">
        <f>F150*0.532154822352704</f>
        <v>0</v>
      </c>
      <c r="AE150" s="125">
        <f>F150*(1-0.532154822352704)</f>
        <v>0</v>
      </c>
    </row>
    <row r="151" s="90" customFormat="1" ht="11.25">
      <c r="C151" s="126" t="s">
        <v>2287</v>
      </c>
    </row>
    <row r="152" spans="1:31" s="90" customFormat="1" ht="11.25">
      <c r="A152" s="122" t="s">
        <v>113</v>
      </c>
      <c r="B152" s="122" t="s">
        <v>1204</v>
      </c>
      <c r="C152" s="122" t="s">
        <v>2288</v>
      </c>
      <c r="D152" s="122" t="s">
        <v>3458</v>
      </c>
      <c r="E152" s="123">
        <v>168.73</v>
      </c>
      <c r="F152" s="123">
        <v>0</v>
      </c>
      <c r="G152" s="123">
        <f>ROUND(E152*AD152,2)</f>
        <v>0</v>
      </c>
      <c r="H152" s="123">
        <f>I152-G152</f>
        <v>0</v>
      </c>
      <c r="I152" s="123">
        <f>ROUND(E152*F152,2)</f>
        <v>0</v>
      </c>
      <c r="J152" s="123">
        <v>2.44644</v>
      </c>
      <c r="K152" s="123">
        <f>E152*J152</f>
        <v>412.78782119999994</v>
      </c>
      <c r="M152" s="124" t="s">
        <v>7</v>
      </c>
      <c r="N152" s="123">
        <f>IF(M152="5",H152,0)</f>
        <v>0</v>
      </c>
      <c r="Y152" s="123">
        <f>IF(AC152=0,I152,0)</f>
        <v>0</v>
      </c>
      <c r="Z152" s="123">
        <f>IF(AC152=14,I152,0)</f>
        <v>0</v>
      </c>
      <c r="AA152" s="123">
        <f>IF(AC152=20,I152,0)</f>
        <v>0</v>
      </c>
      <c r="AC152" s="125">
        <v>20</v>
      </c>
      <c r="AD152" s="125">
        <f>F152*0.892620194671124</f>
        <v>0</v>
      </c>
      <c r="AE152" s="125">
        <f>F152*(1-0.892620194671124)</f>
        <v>0</v>
      </c>
    </row>
    <row r="153" spans="1:31" s="90" customFormat="1" ht="11.25">
      <c r="A153" s="122" t="s">
        <v>114</v>
      </c>
      <c r="B153" s="122" t="s">
        <v>1205</v>
      </c>
      <c r="C153" s="122" t="s">
        <v>2289</v>
      </c>
      <c r="D153" s="122" t="s">
        <v>3459</v>
      </c>
      <c r="E153" s="123">
        <v>722.5</v>
      </c>
      <c r="F153" s="123">
        <v>0</v>
      </c>
      <c r="G153" s="123">
        <f>ROUND(E153*AD153,2)</f>
        <v>0</v>
      </c>
      <c r="H153" s="123">
        <f>I153-G153</f>
        <v>0</v>
      </c>
      <c r="I153" s="123">
        <f>ROUND(E153*F153,2)</f>
        <v>0</v>
      </c>
      <c r="J153" s="123">
        <v>0.047</v>
      </c>
      <c r="K153" s="123">
        <f>E153*J153</f>
        <v>33.9575</v>
      </c>
      <c r="M153" s="124" t="s">
        <v>7</v>
      </c>
      <c r="N153" s="123">
        <f>IF(M153="5",H153,0)</f>
        <v>0</v>
      </c>
      <c r="Y153" s="123">
        <f>IF(AC153=0,I153,0)</f>
        <v>0</v>
      </c>
      <c r="Z153" s="123">
        <f>IF(AC153=14,I153,0)</f>
        <v>0</v>
      </c>
      <c r="AA153" s="123">
        <f>IF(AC153=20,I153,0)</f>
        <v>0</v>
      </c>
      <c r="AC153" s="125">
        <v>20</v>
      </c>
      <c r="AD153" s="125">
        <f>F153*0.252940533848003</f>
        <v>0</v>
      </c>
      <c r="AE153" s="125">
        <f>F153*(1-0.252940533848003)</f>
        <v>0</v>
      </c>
    </row>
    <row r="154" s="90" customFormat="1" ht="11.25">
      <c r="C154" s="126" t="s">
        <v>2290</v>
      </c>
    </row>
    <row r="155" spans="1:31" s="90" customFormat="1" ht="11.25">
      <c r="A155" s="122" t="s">
        <v>115</v>
      </c>
      <c r="B155" s="122" t="s">
        <v>1206</v>
      </c>
      <c r="C155" s="122" t="s">
        <v>2291</v>
      </c>
      <c r="D155" s="122" t="s">
        <v>3459</v>
      </c>
      <c r="E155" s="123">
        <v>722.5</v>
      </c>
      <c r="F155" s="123">
        <v>0</v>
      </c>
      <c r="G155" s="123">
        <f aca="true" t="shared" si="44" ref="G155:G167">ROUND(E155*AD155,2)</f>
        <v>0</v>
      </c>
      <c r="H155" s="123">
        <f aca="true" t="shared" si="45" ref="H155:H167">I155-G155</f>
        <v>0</v>
      </c>
      <c r="I155" s="123">
        <f aca="true" t="shared" si="46" ref="I155:I167">ROUND(E155*F155,2)</f>
        <v>0</v>
      </c>
      <c r="J155" s="123">
        <v>0</v>
      </c>
      <c r="K155" s="123">
        <f aca="true" t="shared" si="47" ref="K155:K167">E155*J155</f>
        <v>0</v>
      </c>
      <c r="M155" s="124" t="s">
        <v>7</v>
      </c>
      <c r="N155" s="123">
        <f aca="true" t="shared" si="48" ref="N155:N167">IF(M155="5",H155,0)</f>
        <v>0</v>
      </c>
      <c r="Y155" s="123">
        <f aca="true" t="shared" si="49" ref="Y155:Y167">IF(AC155=0,I155,0)</f>
        <v>0</v>
      </c>
      <c r="Z155" s="123">
        <f aca="true" t="shared" si="50" ref="Z155:Z167">IF(AC155=14,I155,0)</f>
        <v>0</v>
      </c>
      <c r="AA155" s="123">
        <f aca="true" t="shared" si="51" ref="AA155:AA167">IF(AC155=20,I155,0)</f>
        <v>0</v>
      </c>
      <c r="AC155" s="125">
        <v>20</v>
      </c>
      <c r="AD155" s="125">
        <f>F155*0</f>
        <v>0</v>
      </c>
      <c r="AE155" s="125">
        <f>F155*(1-0)</f>
        <v>0</v>
      </c>
    </row>
    <row r="156" spans="1:31" s="90" customFormat="1" ht="11.25">
      <c r="A156" s="122" t="s">
        <v>116</v>
      </c>
      <c r="B156" s="122" t="s">
        <v>1207</v>
      </c>
      <c r="C156" s="122" t="s">
        <v>2292</v>
      </c>
      <c r="D156" s="122" t="s">
        <v>3459</v>
      </c>
      <c r="E156" s="123">
        <v>722.5</v>
      </c>
      <c r="F156" s="123">
        <v>0</v>
      </c>
      <c r="G156" s="123">
        <f t="shared" si="44"/>
        <v>0</v>
      </c>
      <c r="H156" s="123">
        <f t="shared" si="45"/>
        <v>0</v>
      </c>
      <c r="I156" s="123">
        <f t="shared" si="46"/>
        <v>0</v>
      </c>
      <c r="J156" s="123">
        <v>0.00552</v>
      </c>
      <c r="K156" s="123">
        <f t="shared" si="47"/>
        <v>3.9882</v>
      </c>
      <c r="M156" s="124" t="s">
        <v>7</v>
      </c>
      <c r="N156" s="123">
        <f t="shared" si="48"/>
        <v>0</v>
      </c>
      <c r="Y156" s="123">
        <f t="shared" si="49"/>
        <v>0</v>
      </c>
      <c r="Z156" s="123">
        <f t="shared" si="50"/>
        <v>0</v>
      </c>
      <c r="AA156" s="123">
        <f t="shared" si="51"/>
        <v>0</v>
      </c>
      <c r="AC156" s="125">
        <v>20</v>
      </c>
      <c r="AD156" s="125">
        <f>F156*0.199052673628945</f>
        <v>0</v>
      </c>
      <c r="AE156" s="125">
        <f>F156*(1-0.199052673628945)</f>
        <v>0</v>
      </c>
    </row>
    <row r="157" spans="1:31" s="90" customFormat="1" ht="11.25">
      <c r="A157" s="122" t="s">
        <v>117</v>
      </c>
      <c r="B157" s="122" t="s">
        <v>1208</v>
      </c>
      <c r="C157" s="122" t="s">
        <v>2293</v>
      </c>
      <c r="D157" s="122" t="s">
        <v>3459</v>
      </c>
      <c r="E157" s="123">
        <v>400.7</v>
      </c>
      <c r="F157" s="123">
        <v>0</v>
      </c>
      <c r="G157" s="123">
        <f t="shared" si="44"/>
        <v>0</v>
      </c>
      <c r="H157" s="123">
        <f t="shared" si="45"/>
        <v>0</v>
      </c>
      <c r="I157" s="123">
        <f t="shared" si="46"/>
        <v>0</v>
      </c>
      <c r="J157" s="123">
        <v>0</v>
      </c>
      <c r="K157" s="123">
        <f t="shared" si="47"/>
        <v>0</v>
      </c>
      <c r="M157" s="124" t="s">
        <v>7</v>
      </c>
      <c r="N157" s="123">
        <f t="shared" si="48"/>
        <v>0</v>
      </c>
      <c r="Y157" s="123">
        <f t="shared" si="49"/>
        <v>0</v>
      </c>
      <c r="Z157" s="123">
        <f t="shared" si="50"/>
        <v>0</v>
      </c>
      <c r="AA157" s="123">
        <f t="shared" si="51"/>
        <v>0</v>
      </c>
      <c r="AC157" s="125">
        <v>20</v>
      </c>
      <c r="AD157" s="125">
        <f>F157*0</f>
        <v>0</v>
      </c>
      <c r="AE157" s="125">
        <f>F157*(1-0)</f>
        <v>0</v>
      </c>
    </row>
    <row r="158" spans="1:31" s="90" customFormat="1" ht="11.25">
      <c r="A158" s="122" t="s">
        <v>118</v>
      </c>
      <c r="B158" s="122" t="s">
        <v>1209</v>
      </c>
      <c r="C158" s="122" t="s">
        <v>2294</v>
      </c>
      <c r="D158" s="122" t="s">
        <v>3459</v>
      </c>
      <c r="E158" s="123">
        <v>46.31</v>
      </c>
      <c r="F158" s="123">
        <v>0</v>
      </c>
      <c r="G158" s="123">
        <f t="shared" si="44"/>
        <v>0</v>
      </c>
      <c r="H158" s="123">
        <f t="shared" si="45"/>
        <v>0</v>
      </c>
      <c r="I158" s="123">
        <f t="shared" si="46"/>
        <v>0</v>
      </c>
      <c r="J158" s="123">
        <v>0.01707</v>
      </c>
      <c r="K158" s="123">
        <f t="shared" si="47"/>
        <v>0.7905116999999999</v>
      </c>
      <c r="M158" s="124" t="s">
        <v>7</v>
      </c>
      <c r="N158" s="123">
        <f t="shared" si="48"/>
        <v>0</v>
      </c>
      <c r="Y158" s="123">
        <f t="shared" si="49"/>
        <v>0</v>
      </c>
      <c r="Z158" s="123">
        <f t="shared" si="50"/>
        <v>0</v>
      </c>
      <c r="AA158" s="123">
        <f t="shared" si="51"/>
        <v>0</v>
      </c>
      <c r="AC158" s="125">
        <v>20</v>
      </c>
      <c r="AD158" s="125">
        <f>F158*0.913724379337555</f>
        <v>0</v>
      </c>
      <c r="AE158" s="125">
        <f>F158*(1-0.913724379337555)</f>
        <v>0</v>
      </c>
    </row>
    <row r="159" spans="1:31" s="90" customFormat="1" ht="11.25">
      <c r="A159" s="122" t="s">
        <v>119</v>
      </c>
      <c r="B159" s="122" t="s">
        <v>1210</v>
      </c>
      <c r="C159" s="122" t="s">
        <v>2295</v>
      </c>
      <c r="D159" s="122" t="s">
        <v>3460</v>
      </c>
      <c r="E159" s="123">
        <v>20.25</v>
      </c>
      <c r="F159" s="123">
        <v>0</v>
      </c>
      <c r="G159" s="123">
        <f t="shared" si="44"/>
        <v>0</v>
      </c>
      <c r="H159" s="123">
        <f t="shared" si="45"/>
        <v>0</v>
      </c>
      <c r="I159" s="123">
        <f t="shared" si="46"/>
        <v>0</v>
      </c>
      <c r="J159" s="123">
        <v>1.02139</v>
      </c>
      <c r="K159" s="123">
        <f t="shared" si="47"/>
        <v>20.6831475</v>
      </c>
      <c r="M159" s="124" t="s">
        <v>7</v>
      </c>
      <c r="N159" s="123">
        <f t="shared" si="48"/>
        <v>0</v>
      </c>
      <c r="Y159" s="123">
        <f t="shared" si="49"/>
        <v>0</v>
      </c>
      <c r="Z159" s="123">
        <f t="shared" si="50"/>
        <v>0</v>
      </c>
      <c r="AA159" s="123">
        <f t="shared" si="51"/>
        <v>0</v>
      </c>
      <c r="AC159" s="125">
        <v>20</v>
      </c>
      <c r="AD159" s="125">
        <f>F159*0.718468575579817</f>
        <v>0</v>
      </c>
      <c r="AE159" s="125">
        <f>F159*(1-0.718468575579817)</f>
        <v>0</v>
      </c>
    </row>
    <row r="160" spans="1:31" s="90" customFormat="1" ht="11.25">
      <c r="A160" s="122" t="s">
        <v>120</v>
      </c>
      <c r="B160" s="122" t="s">
        <v>1211</v>
      </c>
      <c r="C160" s="122" t="s">
        <v>2296</v>
      </c>
      <c r="D160" s="122" t="s">
        <v>3458</v>
      </c>
      <c r="E160" s="123">
        <v>25.48</v>
      </c>
      <c r="F160" s="123">
        <v>0</v>
      </c>
      <c r="G160" s="123">
        <f t="shared" si="44"/>
        <v>0</v>
      </c>
      <c r="H160" s="123">
        <f t="shared" si="45"/>
        <v>0</v>
      </c>
      <c r="I160" s="123">
        <f t="shared" si="46"/>
        <v>0</v>
      </c>
      <c r="J160" s="123">
        <v>2.44633</v>
      </c>
      <c r="K160" s="123">
        <f t="shared" si="47"/>
        <v>62.3324884</v>
      </c>
      <c r="M160" s="124" t="s">
        <v>7</v>
      </c>
      <c r="N160" s="123">
        <f t="shared" si="48"/>
        <v>0</v>
      </c>
      <c r="Y160" s="123">
        <f t="shared" si="49"/>
        <v>0</v>
      </c>
      <c r="Z160" s="123">
        <f t="shared" si="50"/>
        <v>0</v>
      </c>
      <c r="AA160" s="123">
        <f t="shared" si="51"/>
        <v>0</v>
      </c>
      <c r="AC160" s="125">
        <v>20</v>
      </c>
      <c r="AD160" s="125">
        <f>F160*0.895659544802782</f>
        <v>0</v>
      </c>
      <c r="AE160" s="125">
        <f>F160*(1-0.895659544802782)</f>
        <v>0</v>
      </c>
    </row>
    <row r="161" spans="1:31" s="90" customFormat="1" ht="11.25">
      <c r="A161" s="122" t="s">
        <v>121</v>
      </c>
      <c r="B161" s="122" t="s">
        <v>1212</v>
      </c>
      <c r="C161" s="122" t="s">
        <v>2297</v>
      </c>
      <c r="D161" s="122" t="s">
        <v>3459</v>
      </c>
      <c r="E161" s="123">
        <v>137.52</v>
      </c>
      <c r="F161" s="123">
        <v>0</v>
      </c>
      <c r="G161" s="123">
        <f t="shared" si="44"/>
        <v>0</v>
      </c>
      <c r="H161" s="123">
        <f t="shared" si="45"/>
        <v>0</v>
      </c>
      <c r="I161" s="123">
        <f t="shared" si="46"/>
        <v>0</v>
      </c>
      <c r="J161" s="123">
        <v>0.05775</v>
      </c>
      <c r="K161" s="123">
        <f t="shared" si="47"/>
        <v>7.941780000000001</v>
      </c>
      <c r="M161" s="124" t="s">
        <v>7</v>
      </c>
      <c r="N161" s="123">
        <f t="shared" si="48"/>
        <v>0</v>
      </c>
      <c r="Y161" s="123">
        <f t="shared" si="49"/>
        <v>0</v>
      </c>
      <c r="Z161" s="123">
        <f t="shared" si="50"/>
        <v>0</v>
      </c>
      <c r="AA161" s="123">
        <f t="shared" si="51"/>
        <v>0</v>
      </c>
      <c r="AC161" s="125">
        <v>20</v>
      </c>
      <c r="AD161" s="125">
        <f>F161*0.268112153647195</f>
        <v>0</v>
      </c>
      <c r="AE161" s="125">
        <f>F161*(1-0.268112153647195)</f>
        <v>0</v>
      </c>
    </row>
    <row r="162" spans="1:31" s="90" customFormat="1" ht="11.25">
      <c r="A162" s="122" t="s">
        <v>122</v>
      </c>
      <c r="B162" s="122" t="s">
        <v>1213</v>
      </c>
      <c r="C162" s="122" t="s">
        <v>2298</v>
      </c>
      <c r="D162" s="122" t="s">
        <v>3459</v>
      </c>
      <c r="E162" s="123">
        <v>137.52</v>
      </c>
      <c r="F162" s="123">
        <v>0</v>
      </c>
      <c r="G162" s="123">
        <f t="shared" si="44"/>
        <v>0</v>
      </c>
      <c r="H162" s="123">
        <f t="shared" si="45"/>
        <v>0</v>
      </c>
      <c r="I162" s="123">
        <f t="shared" si="46"/>
        <v>0</v>
      </c>
      <c r="J162" s="123">
        <v>0</v>
      </c>
      <c r="K162" s="123">
        <f t="shared" si="47"/>
        <v>0</v>
      </c>
      <c r="M162" s="124" t="s">
        <v>7</v>
      </c>
      <c r="N162" s="123">
        <f t="shared" si="48"/>
        <v>0</v>
      </c>
      <c r="Y162" s="123">
        <f t="shared" si="49"/>
        <v>0</v>
      </c>
      <c r="Z162" s="123">
        <f t="shared" si="50"/>
        <v>0</v>
      </c>
      <c r="AA162" s="123">
        <f t="shared" si="51"/>
        <v>0</v>
      </c>
      <c r="AC162" s="125">
        <v>20</v>
      </c>
      <c r="AD162" s="125">
        <f>F162*0</f>
        <v>0</v>
      </c>
      <c r="AE162" s="125">
        <f>F162*(1-0)</f>
        <v>0</v>
      </c>
    </row>
    <row r="163" spans="1:31" s="90" customFormat="1" ht="11.25">
      <c r="A163" s="122" t="s">
        <v>123</v>
      </c>
      <c r="B163" s="122" t="s">
        <v>1214</v>
      </c>
      <c r="C163" s="122" t="s">
        <v>2299</v>
      </c>
      <c r="D163" s="122" t="s">
        <v>3459</v>
      </c>
      <c r="E163" s="123">
        <v>59.21</v>
      </c>
      <c r="F163" s="123">
        <v>0</v>
      </c>
      <c r="G163" s="123">
        <f t="shared" si="44"/>
        <v>0</v>
      </c>
      <c r="H163" s="123">
        <f t="shared" si="45"/>
        <v>0</v>
      </c>
      <c r="I163" s="123">
        <f t="shared" si="46"/>
        <v>0</v>
      </c>
      <c r="J163" s="123">
        <v>0.0086</v>
      </c>
      <c r="K163" s="123">
        <f t="shared" si="47"/>
        <v>0.509206</v>
      </c>
      <c r="M163" s="124" t="s">
        <v>7</v>
      </c>
      <c r="N163" s="123">
        <f t="shared" si="48"/>
        <v>0</v>
      </c>
      <c r="Y163" s="123">
        <f t="shared" si="49"/>
        <v>0</v>
      </c>
      <c r="Z163" s="123">
        <f t="shared" si="50"/>
        <v>0</v>
      </c>
      <c r="AA163" s="123">
        <f t="shared" si="51"/>
        <v>0</v>
      </c>
      <c r="AC163" s="125">
        <v>20</v>
      </c>
      <c r="AD163" s="125">
        <f>F163*0.127446715963462</f>
        <v>0</v>
      </c>
      <c r="AE163" s="125">
        <f>F163*(1-0.127446715963462)</f>
        <v>0</v>
      </c>
    </row>
    <row r="164" spans="1:31" s="90" customFormat="1" ht="11.25">
      <c r="A164" s="122" t="s">
        <v>124</v>
      </c>
      <c r="B164" s="122" t="s">
        <v>1215</v>
      </c>
      <c r="C164" s="122" t="s">
        <v>2300</v>
      </c>
      <c r="D164" s="122" t="s">
        <v>3459</v>
      </c>
      <c r="E164" s="123">
        <v>59.21</v>
      </c>
      <c r="F164" s="123">
        <v>0</v>
      </c>
      <c r="G164" s="123">
        <f t="shared" si="44"/>
        <v>0</v>
      </c>
      <c r="H164" s="123">
        <f t="shared" si="45"/>
        <v>0</v>
      </c>
      <c r="I164" s="123">
        <f t="shared" si="46"/>
        <v>0</v>
      </c>
      <c r="J164" s="123">
        <v>0</v>
      </c>
      <c r="K164" s="123">
        <f t="shared" si="47"/>
        <v>0</v>
      </c>
      <c r="M164" s="124" t="s">
        <v>7</v>
      </c>
      <c r="N164" s="123">
        <f t="shared" si="48"/>
        <v>0</v>
      </c>
      <c r="Y164" s="123">
        <f t="shared" si="49"/>
        <v>0</v>
      </c>
      <c r="Z164" s="123">
        <f t="shared" si="50"/>
        <v>0</v>
      </c>
      <c r="AA164" s="123">
        <f t="shared" si="51"/>
        <v>0</v>
      </c>
      <c r="AC164" s="125">
        <v>20</v>
      </c>
      <c r="AD164" s="125">
        <f>F164*0</f>
        <v>0</v>
      </c>
      <c r="AE164" s="125">
        <f>F164*(1-0)</f>
        <v>0</v>
      </c>
    </row>
    <row r="165" spans="1:31" s="90" customFormat="1" ht="11.25">
      <c r="A165" s="122" t="s">
        <v>125</v>
      </c>
      <c r="B165" s="122" t="s">
        <v>1216</v>
      </c>
      <c r="C165" s="122" t="s">
        <v>2301</v>
      </c>
      <c r="D165" s="122" t="s">
        <v>3460</v>
      </c>
      <c r="E165" s="123">
        <v>1.47</v>
      </c>
      <c r="F165" s="123">
        <v>0</v>
      </c>
      <c r="G165" s="123">
        <f t="shared" si="44"/>
        <v>0</v>
      </c>
      <c r="H165" s="123">
        <f t="shared" si="45"/>
        <v>0</v>
      </c>
      <c r="I165" s="123">
        <f t="shared" si="46"/>
        <v>0</v>
      </c>
      <c r="J165" s="123">
        <v>1.01939</v>
      </c>
      <c r="K165" s="123">
        <f t="shared" si="47"/>
        <v>1.4985033</v>
      </c>
      <c r="M165" s="124" t="s">
        <v>7</v>
      </c>
      <c r="N165" s="123">
        <f t="shared" si="48"/>
        <v>0</v>
      </c>
      <c r="Y165" s="123">
        <f t="shared" si="49"/>
        <v>0</v>
      </c>
      <c r="Z165" s="123">
        <f t="shared" si="50"/>
        <v>0</v>
      </c>
      <c r="AA165" s="123">
        <f t="shared" si="51"/>
        <v>0</v>
      </c>
      <c r="AC165" s="125">
        <v>20</v>
      </c>
      <c r="AD165" s="125">
        <f>F165*0.682972355756697</f>
        <v>0</v>
      </c>
      <c r="AE165" s="125">
        <f>F165*(1-0.682972355756697)</f>
        <v>0</v>
      </c>
    </row>
    <row r="166" spans="1:31" s="90" customFormat="1" ht="11.25">
      <c r="A166" s="122" t="s">
        <v>126</v>
      </c>
      <c r="B166" s="122" t="s">
        <v>1217</v>
      </c>
      <c r="C166" s="122" t="s">
        <v>2302</v>
      </c>
      <c r="D166" s="122" t="s">
        <v>3460</v>
      </c>
      <c r="E166" s="123">
        <v>0.02</v>
      </c>
      <c r="F166" s="123">
        <v>0</v>
      </c>
      <c r="G166" s="123">
        <f t="shared" si="44"/>
        <v>0</v>
      </c>
      <c r="H166" s="123">
        <f t="shared" si="45"/>
        <v>0</v>
      </c>
      <c r="I166" s="123">
        <f t="shared" si="46"/>
        <v>0</v>
      </c>
      <c r="J166" s="123">
        <v>0.01901</v>
      </c>
      <c r="K166" s="123">
        <f t="shared" si="47"/>
        <v>0.00038019999999999997</v>
      </c>
      <c r="M166" s="124" t="s">
        <v>7</v>
      </c>
      <c r="N166" s="123">
        <f t="shared" si="48"/>
        <v>0</v>
      </c>
      <c r="Y166" s="123">
        <f t="shared" si="49"/>
        <v>0</v>
      </c>
      <c r="Z166" s="123">
        <f t="shared" si="50"/>
        <v>0</v>
      </c>
      <c r="AA166" s="123">
        <f t="shared" si="51"/>
        <v>0</v>
      </c>
      <c r="AC166" s="125">
        <v>20</v>
      </c>
      <c r="AD166" s="125">
        <f>F166*0.00319447313887898</f>
        <v>0</v>
      </c>
      <c r="AE166" s="125">
        <f>F166*(1-0.00319447313887898)</f>
        <v>0</v>
      </c>
    </row>
    <row r="167" spans="1:31" s="90" customFormat="1" ht="11.25">
      <c r="A167" s="122" t="s">
        <v>127</v>
      </c>
      <c r="B167" s="122" t="s">
        <v>1218</v>
      </c>
      <c r="C167" s="122" t="s">
        <v>2303</v>
      </c>
      <c r="D167" s="122" t="s">
        <v>3460</v>
      </c>
      <c r="E167" s="123">
        <v>1.57</v>
      </c>
      <c r="F167" s="123">
        <v>0</v>
      </c>
      <c r="G167" s="123">
        <f t="shared" si="44"/>
        <v>0</v>
      </c>
      <c r="H167" s="123">
        <f t="shared" si="45"/>
        <v>0</v>
      </c>
      <c r="I167" s="123">
        <f t="shared" si="46"/>
        <v>0</v>
      </c>
      <c r="J167" s="123">
        <v>1.09663</v>
      </c>
      <c r="K167" s="123">
        <f t="shared" si="47"/>
        <v>1.7217091</v>
      </c>
      <c r="M167" s="124" t="s">
        <v>7</v>
      </c>
      <c r="N167" s="123">
        <f t="shared" si="48"/>
        <v>0</v>
      </c>
      <c r="Y167" s="123">
        <f t="shared" si="49"/>
        <v>0</v>
      </c>
      <c r="Z167" s="123">
        <f t="shared" si="50"/>
        <v>0</v>
      </c>
      <c r="AA167" s="123">
        <f t="shared" si="51"/>
        <v>0</v>
      </c>
      <c r="AC167" s="125">
        <v>20</v>
      </c>
      <c r="AD167" s="125">
        <f>F167*0.761933540895013</f>
        <v>0</v>
      </c>
      <c r="AE167" s="125">
        <f>F167*(1-0.761933540895013)</f>
        <v>0</v>
      </c>
    </row>
    <row r="168" s="90" customFormat="1" ht="11.25">
      <c r="C168" s="126" t="s">
        <v>2304</v>
      </c>
    </row>
    <row r="169" spans="1:31" s="90" customFormat="1" ht="11.25">
      <c r="A169" s="122" t="s">
        <v>128</v>
      </c>
      <c r="B169" s="122" t="s">
        <v>1219</v>
      </c>
      <c r="C169" s="122" t="s">
        <v>2305</v>
      </c>
      <c r="D169" s="122" t="s">
        <v>3460</v>
      </c>
      <c r="E169" s="123">
        <v>3.92</v>
      </c>
      <c r="F169" s="123">
        <v>0</v>
      </c>
      <c r="G169" s="123">
        <f aca="true" t="shared" si="52" ref="G169:G175">ROUND(E169*AD169,2)</f>
        <v>0</v>
      </c>
      <c r="H169" s="123">
        <f aca="true" t="shared" si="53" ref="H169:H175">I169-G169</f>
        <v>0</v>
      </c>
      <c r="I169" s="123">
        <f aca="true" t="shared" si="54" ref="I169:I175">ROUND(E169*F169,2)</f>
        <v>0</v>
      </c>
      <c r="J169" s="123">
        <v>0.01188</v>
      </c>
      <c r="K169" s="123">
        <f aca="true" t="shared" si="55" ref="K169:K175">E169*J169</f>
        <v>0.046569599999999996</v>
      </c>
      <c r="M169" s="124" t="s">
        <v>7</v>
      </c>
      <c r="N169" s="123">
        <f aca="true" t="shared" si="56" ref="N169:N175">IF(M169="5",H169,0)</f>
        <v>0</v>
      </c>
      <c r="Y169" s="123">
        <f aca="true" t="shared" si="57" ref="Y169:Y175">IF(AC169=0,I169,0)</f>
        <v>0</v>
      </c>
      <c r="Z169" s="123">
        <f aca="true" t="shared" si="58" ref="Z169:Z175">IF(AC169=14,I169,0)</f>
        <v>0</v>
      </c>
      <c r="AA169" s="123">
        <f aca="true" t="shared" si="59" ref="AA169:AA175">IF(AC169=20,I169,0)</f>
        <v>0</v>
      </c>
      <c r="AC169" s="125">
        <v>20</v>
      </c>
      <c r="AD169" s="125">
        <f>F169*0.00236886821153233</f>
        <v>0</v>
      </c>
      <c r="AE169" s="125">
        <f>F169*(1-0.00236886821153233)</f>
        <v>0</v>
      </c>
    </row>
    <row r="170" spans="1:31" s="90" customFormat="1" ht="11.25">
      <c r="A170" s="122" t="s">
        <v>129</v>
      </c>
      <c r="B170" s="122" t="s">
        <v>1220</v>
      </c>
      <c r="C170" s="122" t="s">
        <v>2306</v>
      </c>
      <c r="D170" s="122" t="s">
        <v>3459</v>
      </c>
      <c r="E170" s="123">
        <v>514.35</v>
      </c>
      <c r="F170" s="123">
        <v>0</v>
      </c>
      <c r="G170" s="123">
        <f t="shared" si="52"/>
        <v>0</v>
      </c>
      <c r="H170" s="123">
        <f t="shared" si="53"/>
        <v>0</v>
      </c>
      <c r="I170" s="123">
        <f t="shared" si="54"/>
        <v>0</v>
      </c>
      <c r="J170" s="123">
        <v>0.01839</v>
      </c>
      <c r="K170" s="123">
        <f t="shared" si="55"/>
        <v>9.4588965</v>
      </c>
      <c r="M170" s="124" t="s">
        <v>7</v>
      </c>
      <c r="N170" s="123">
        <f t="shared" si="56"/>
        <v>0</v>
      </c>
      <c r="Y170" s="123">
        <f t="shared" si="57"/>
        <v>0</v>
      </c>
      <c r="Z170" s="123">
        <f t="shared" si="58"/>
        <v>0</v>
      </c>
      <c r="AA170" s="123">
        <f t="shared" si="59"/>
        <v>0</v>
      </c>
      <c r="AC170" s="125">
        <v>20</v>
      </c>
      <c r="AD170" s="125">
        <f>F170*0.508700506742249</f>
        <v>0</v>
      </c>
      <c r="AE170" s="125">
        <f>F170*(1-0.508700506742249)</f>
        <v>0</v>
      </c>
    </row>
    <row r="171" spans="1:31" s="90" customFormat="1" ht="11.25">
      <c r="A171" s="122" t="s">
        <v>130</v>
      </c>
      <c r="B171" s="122" t="s">
        <v>1221</v>
      </c>
      <c r="C171" s="122" t="s">
        <v>2307</v>
      </c>
      <c r="D171" s="122" t="s">
        <v>3458</v>
      </c>
      <c r="E171" s="123">
        <v>6.23</v>
      </c>
      <c r="F171" s="123">
        <v>0</v>
      </c>
      <c r="G171" s="123">
        <f t="shared" si="52"/>
        <v>0</v>
      </c>
      <c r="H171" s="123">
        <f t="shared" si="53"/>
        <v>0</v>
      </c>
      <c r="I171" s="123">
        <f t="shared" si="54"/>
        <v>0</v>
      </c>
      <c r="J171" s="123">
        <v>2.44639</v>
      </c>
      <c r="K171" s="123">
        <f t="shared" si="55"/>
        <v>15.241009700000001</v>
      </c>
      <c r="M171" s="124" t="s">
        <v>7</v>
      </c>
      <c r="N171" s="123">
        <f t="shared" si="56"/>
        <v>0</v>
      </c>
      <c r="Y171" s="123">
        <f t="shared" si="57"/>
        <v>0</v>
      </c>
      <c r="Z171" s="123">
        <f t="shared" si="58"/>
        <v>0</v>
      </c>
      <c r="AA171" s="123">
        <f t="shared" si="59"/>
        <v>0</v>
      </c>
      <c r="AC171" s="125">
        <v>20</v>
      </c>
      <c r="AD171" s="125">
        <f>F171*0.872758441358322</f>
        <v>0</v>
      </c>
      <c r="AE171" s="125">
        <f>F171*(1-0.872758441358322)</f>
        <v>0</v>
      </c>
    </row>
    <row r="172" spans="1:31" s="90" customFormat="1" ht="11.25">
      <c r="A172" s="122" t="s">
        <v>131</v>
      </c>
      <c r="B172" s="122" t="s">
        <v>1222</v>
      </c>
      <c r="C172" s="122" t="s">
        <v>2308</v>
      </c>
      <c r="D172" s="122" t="s">
        <v>3459</v>
      </c>
      <c r="E172" s="123">
        <v>111.21</v>
      </c>
      <c r="F172" s="123">
        <v>0</v>
      </c>
      <c r="G172" s="123">
        <f t="shared" si="52"/>
        <v>0</v>
      </c>
      <c r="H172" s="123">
        <f t="shared" si="53"/>
        <v>0</v>
      </c>
      <c r="I172" s="123">
        <f t="shared" si="54"/>
        <v>0</v>
      </c>
      <c r="J172" s="123">
        <v>0.00795</v>
      </c>
      <c r="K172" s="123">
        <f t="shared" si="55"/>
        <v>0.8841195</v>
      </c>
      <c r="M172" s="124" t="s">
        <v>7</v>
      </c>
      <c r="N172" s="123">
        <f t="shared" si="56"/>
        <v>0</v>
      </c>
      <c r="Y172" s="123">
        <f t="shared" si="57"/>
        <v>0</v>
      </c>
      <c r="Z172" s="123">
        <f t="shared" si="58"/>
        <v>0</v>
      </c>
      <c r="AA172" s="123">
        <f t="shared" si="59"/>
        <v>0</v>
      </c>
      <c r="AC172" s="125">
        <v>20</v>
      </c>
      <c r="AD172" s="125">
        <f>F172*0.308526261230131</f>
        <v>0</v>
      </c>
      <c r="AE172" s="125">
        <f>F172*(1-0.308526261230131)</f>
        <v>0</v>
      </c>
    </row>
    <row r="173" spans="1:31" s="90" customFormat="1" ht="11.25">
      <c r="A173" s="122" t="s">
        <v>132</v>
      </c>
      <c r="B173" s="122" t="s">
        <v>1223</v>
      </c>
      <c r="C173" s="122" t="s">
        <v>2309</v>
      </c>
      <c r="D173" s="122" t="s">
        <v>3459</v>
      </c>
      <c r="E173" s="123">
        <v>111.21</v>
      </c>
      <c r="F173" s="123">
        <v>0</v>
      </c>
      <c r="G173" s="123">
        <f t="shared" si="52"/>
        <v>0</v>
      </c>
      <c r="H173" s="123">
        <f t="shared" si="53"/>
        <v>0</v>
      </c>
      <c r="I173" s="123">
        <f t="shared" si="54"/>
        <v>0</v>
      </c>
      <c r="J173" s="123">
        <v>0</v>
      </c>
      <c r="K173" s="123">
        <f t="shared" si="55"/>
        <v>0</v>
      </c>
      <c r="M173" s="124" t="s">
        <v>7</v>
      </c>
      <c r="N173" s="123">
        <f t="shared" si="56"/>
        <v>0</v>
      </c>
      <c r="Y173" s="123">
        <f t="shared" si="57"/>
        <v>0</v>
      </c>
      <c r="Z173" s="123">
        <f t="shared" si="58"/>
        <v>0</v>
      </c>
      <c r="AA173" s="123">
        <f t="shared" si="59"/>
        <v>0</v>
      </c>
      <c r="AC173" s="125">
        <v>20</v>
      </c>
      <c r="AD173" s="125">
        <f>F173*0</f>
        <v>0</v>
      </c>
      <c r="AE173" s="125">
        <f>F173*(1-0)</f>
        <v>0</v>
      </c>
    </row>
    <row r="174" spans="1:31" s="90" customFormat="1" ht="11.25">
      <c r="A174" s="122" t="s">
        <v>133</v>
      </c>
      <c r="B174" s="122" t="s">
        <v>1224</v>
      </c>
      <c r="C174" s="122" t="s">
        <v>2310</v>
      </c>
      <c r="D174" s="122" t="s">
        <v>3460</v>
      </c>
      <c r="E174" s="123">
        <v>0.75</v>
      </c>
      <c r="F174" s="123">
        <v>0</v>
      </c>
      <c r="G174" s="123">
        <f t="shared" si="52"/>
        <v>0</v>
      </c>
      <c r="H174" s="123">
        <f t="shared" si="53"/>
        <v>0</v>
      </c>
      <c r="I174" s="123">
        <f t="shared" si="54"/>
        <v>0</v>
      </c>
      <c r="J174" s="123">
        <v>1.01665</v>
      </c>
      <c r="K174" s="123">
        <f t="shared" si="55"/>
        <v>0.7624875</v>
      </c>
      <c r="M174" s="124" t="s">
        <v>7</v>
      </c>
      <c r="N174" s="123">
        <f t="shared" si="56"/>
        <v>0</v>
      </c>
      <c r="Y174" s="123">
        <f t="shared" si="57"/>
        <v>0</v>
      </c>
      <c r="Z174" s="123">
        <f t="shared" si="58"/>
        <v>0</v>
      </c>
      <c r="AA174" s="123">
        <f t="shared" si="59"/>
        <v>0</v>
      </c>
      <c r="AC174" s="125">
        <v>20</v>
      </c>
      <c r="AD174" s="125">
        <f>F174*0.66744366309389</f>
        <v>0</v>
      </c>
      <c r="AE174" s="125">
        <f>F174*(1-0.66744366309389)</f>
        <v>0</v>
      </c>
    </row>
    <row r="175" spans="1:31" s="90" customFormat="1" ht="11.25">
      <c r="A175" s="122" t="s">
        <v>134</v>
      </c>
      <c r="B175" s="122" t="s">
        <v>1139</v>
      </c>
      <c r="C175" s="122" t="s">
        <v>2197</v>
      </c>
      <c r="D175" s="122" t="s">
        <v>3460</v>
      </c>
      <c r="E175" s="123">
        <v>650.00943</v>
      </c>
      <c r="F175" s="123">
        <v>0</v>
      </c>
      <c r="G175" s="123">
        <f t="shared" si="52"/>
        <v>0</v>
      </c>
      <c r="H175" s="123">
        <f t="shared" si="53"/>
        <v>0</v>
      </c>
      <c r="I175" s="123">
        <f t="shared" si="54"/>
        <v>0</v>
      </c>
      <c r="J175" s="123">
        <v>0</v>
      </c>
      <c r="K175" s="123">
        <f t="shared" si="55"/>
        <v>0</v>
      </c>
      <c r="M175" s="124" t="s">
        <v>11</v>
      </c>
      <c r="N175" s="123">
        <f t="shared" si="56"/>
        <v>0</v>
      </c>
      <c r="Y175" s="123">
        <f t="shared" si="57"/>
        <v>0</v>
      </c>
      <c r="Z175" s="123">
        <f t="shared" si="58"/>
        <v>0</v>
      </c>
      <c r="AA175" s="123">
        <f t="shared" si="59"/>
        <v>0</v>
      </c>
      <c r="AC175" s="125">
        <v>20</v>
      </c>
      <c r="AD175" s="125">
        <f>F175*0</f>
        <v>0</v>
      </c>
      <c r="AE175" s="125">
        <f>F175*(1-0)</f>
        <v>0</v>
      </c>
    </row>
    <row r="176" spans="1:36" s="90" customFormat="1" ht="11.25">
      <c r="A176" s="127"/>
      <c r="B176" s="128" t="s">
        <v>49</v>
      </c>
      <c r="C176" s="129" t="s">
        <v>2311</v>
      </c>
      <c r="D176" s="130"/>
      <c r="E176" s="130"/>
      <c r="F176" s="130"/>
      <c r="G176" s="121">
        <f>SUM(G177:G182)</f>
        <v>0</v>
      </c>
      <c r="H176" s="121">
        <f>SUM(H177:H182)</f>
        <v>0</v>
      </c>
      <c r="I176" s="121">
        <f>G176+H176</f>
        <v>0</v>
      </c>
      <c r="J176" s="114"/>
      <c r="K176" s="121">
        <f>SUM(K177:K182)</f>
        <v>17.635406</v>
      </c>
      <c r="O176" s="121">
        <f>IF(P176="PR",I176,SUM(N177:N182))</f>
        <v>0</v>
      </c>
      <c r="P176" s="114" t="s">
        <v>3489</v>
      </c>
      <c r="Q176" s="121">
        <f>IF(P176="HS",G176,0)</f>
        <v>0</v>
      </c>
      <c r="R176" s="121">
        <f>IF(P176="HS",H176-O176,0)</f>
        <v>0</v>
      </c>
      <c r="S176" s="121">
        <f>IF(P176="PS",G176,0)</f>
        <v>0</v>
      </c>
      <c r="T176" s="121">
        <f>IF(P176="PS",H176-O176,0)</f>
        <v>0</v>
      </c>
      <c r="U176" s="121">
        <f>IF(P176="MP",G176,0)</f>
        <v>0</v>
      </c>
      <c r="V176" s="121">
        <f>IF(P176="MP",H176-O176,0)</f>
        <v>0</v>
      </c>
      <c r="W176" s="121">
        <f>IF(P176="OM",G176,0)</f>
        <v>0</v>
      </c>
      <c r="X176" s="114"/>
      <c r="AH176" s="121">
        <f>SUM(Y177:Y182)</f>
        <v>0</v>
      </c>
      <c r="AI176" s="121">
        <f>SUM(Z177:Z182)</f>
        <v>0</v>
      </c>
      <c r="AJ176" s="121">
        <f>SUM(AA177:AA182)</f>
        <v>0</v>
      </c>
    </row>
    <row r="177" spans="1:31" s="90" customFormat="1" ht="11.25">
      <c r="A177" s="122" t="s">
        <v>135</v>
      </c>
      <c r="B177" s="122" t="s">
        <v>1225</v>
      </c>
      <c r="C177" s="122" t="s">
        <v>2312</v>
      </c>
      <c r="D177" s="122" t="s">
        <v>3458</v>
      </c>
      <c r="E177" s="123">
        <v>5.83</v>
      </c>
      <c r="F177" s="123">
        <v>0</v>
      </c>
      <c r="G177" s="123">
        <f>ROUND(E177*AD177,2)</f>
        <v>0</v>
      </c>
      <c r="H177" s="123">
        <f>I177-G177</f>
        <v>0</v>
      </c>
      <c r="I177" s="123">
        <f>ROUND(E177*F177,2)</f>
        <v>0</v>
      </c>
      <c r="J177" s="123">
        <v>2.89196</v>
      </c>
      <c r="K177" s="123">
        <f>E177*J177</f>
        <v>16.8601268</v>
      </c>
      <c r="M177" s="124" t="s">
        <v>9</v>
      </c>
      <c r="N177" s="123">
        <f>IF(M177="5",H177,0)</f>
        <v>0</v>
      </c>
      <c r="Y177" s="123">
        <f>IF(AC177=0,I177,0)</f>
        <v>0</v>
      </c>
      <c r="Z177" s="123">
        <f>IF(AC177=14,I177,0)</f>
        <v>0</v>
      </c>
      <c r="AA177" s="123">
        <f>IF(AC177=20,I177,0)</f>
        <v>0</v>
      </c>
      <c r="AC177" s="125">
        <v>20</v>
      </c>
      <c r="AD177" s="125">
        <f>F177*0.456362190097292</f>
        <v>0</v>
      </c>
      <c r="AE177" s="125">
        <f>F177*(1-0.456362190097292)</f>
        <v>0</v>
      </c>
    </row>
    <row r="178" s="90" customFormat="1" ht="11.25">
      <c r="C178" s="126" t="s">
        <v>2313</v>
      </c>
    </row>
    <row r="179" spans="1:31" s="90" customFormat="1" ht="11.25">
      <c r="A179" s="122" t="s">
        <v>136</v>
      </c>
      <c r="B179" s="122" t="s">
        <v>1226</v>
      </c>
      <c r="C179" s="122" t="s">
        <v>2314</v>
      </c>
      <c r="D179" s="122" t="s">
        <v>3455</v>
      </c>
      <c r="E179" s="123">
        <v>6.3</v>
      </c>
      <c r="F179" s="123">
        <v>0</v>
      </c>
      <c r="G179" s="123">
        <f>ROUND(E179*AD179,2)</f>
        <v>0</v>
      </c>
      <c r="H179" s="123">
        <f>I179-G179</f>
        <v>0</v>
      </c>
      <c r="I179" s="123">
        <f>ROUND(E179*F179,2)</f>
        <v>0</v>
      </c>
      <c r="J179" s="123">
        <v>0.12148</v>
      </c>
      <c r="K179" s="123">
        <f>E179*J179</f>
        <v>0.765324</v>
      </c>
      <c r="M179" s="124" t="s">
        <v>7</v>
      </c>
      <c r="N179" s="123">
        <f>IF(M179="5",H179,0)</f>
        <v>0</v>
      </c>
      <c r="Y179" s="123">
        <f>IF(AC179=0,I179,0)</f>
        <v>0</v>
      </c>
      <c r="Z179" s="123">
        <f>IF(AC179=14,I179,0)</f>
        <v>0</v>
      </c>
      <c r="AA179" s="123">
        <f>IF(AC179=20,I179,0)</f>
        <v>0</v>
      </c>
      <c r="AC179" s="125">
        <v>20</v>
      </c>
      <c r="AD179" s="125">
        <f>F179*0.473026799180169</f>
        <v>0</v>
      </c>
      <c r="AE179" s="125">
        <f>F179*(1-0.473026799180169)</f>
        <v>0</v>
      </c>
    </row>
    <row r="180" spans="1:31" s="90" customFormat="1" ht="11.25">
      <c r="A180" s="122" t="s">
        <v>137</v>
      </c>
      <c r="B180" s="122" t="s">
        <v>1227</v>
      </c>
      <c r="C180" s="122" t="s">
        <v>2315</v>
      </c>
      <c r="D180" s="122" t="s">
        <v>3459</v>
      </c>
      <c r="E180" s="123">
        <v>1.22</v>
      </c>
      <c r="F180" s="123">
        <v>0</v>
      </c>
      <c r="G180" s="123">
        <f>ROUND(E180*AD180,2)</f>
        <v>0</v>
      </c>
      <c r="H180" s="123">
        <f>I180-G180</f>
        <v>0</v>
      </c>
      <c r="I180" s="123">
        <f>ROUND(E180*F180,2)</f>
        <v>0</v>
      </c>
      <c r="J180" s="123">
        <v>0.00816</v>
      </c>
      <c r="K180" s="123">
        <f>E180*J180</f>
        <v>0.0099552</v>
      </c>
      <c r="M180" s="124" t="s">
        <v>7</v>
      </c>
      <c r="N180" s="123">
        <f>IF(M180="5",H180,0)</f>
        <v>0</v>
      </c>
      <c r="Y180" s="123">
        <f>IF(AC180=0,I180,0)</f>
        <v>0</v>
      </c>
      <c r="Z180" s="123">
        <f>IF(AC180=14,I180,0)</f>
        <v>0</v>
      </c>
      <c r="AA180" s="123">
        <f>IF(AC180=20,I180,0)</f>
        <v>0</v>
      </c>
      <c r="AC180" s="125">
        <v>20</v>
      </c>
      <c r="AD180" s="125">
        <f>F180*0.177315006426035</f>
        <v>0</v>
      </c>
      <c r="AE180" s="125">
        <f>F180*(1-0.177315006426035)</f>
        <v>0</v>
      </c>
    </row>
    <row r="181" spans="1:31" s="90" customFormat="1" ht="11.25">
      <c r="A181" s="122" t="s">
        <v>138</v>
      </c>
      <c r="B181" s="122" t="s">
        <v>1228</v>
      </c>
      <c r="C181" s="122" t="s">
        <v>2316</v>
      </c>
      <c r="D181" s="122" t="s">
        <v>3459</v>
      </c>
      <c r="E181" s="123">
        <v>1.22</v>
      </c>
      <c r="F181" s="123">
        <v>0</v>
      </c>
      <c r="G181" s="123">
        <f>ROUND(E181*AD181,2)</f>
        <v>0</v>
      </c>
      <c r="H181" s="123">
        <f>I181-G181</f>
        <v>0</v>
      </c>
      <c r="I181" s="123">
        <f>ROUND(E181*F181,2)</f>
        <v>0</v>
      </c>
      <c r="J181" s="123">
        <v>0</v>
      </c>
      <c r="K181" s="123">
        <f>E181*J181</f>
        <v>0</v>
      </c>
      <c r="M181" s="124" t="s">
        <v>7</v>
      </c>
      <c r="N181" s="123">
        <f>IF(M181="5",H181,0)</f>
        <v>0</v>
      </c>
      <c r="Y181" s="123">
        <f>IF(AC181=0,I181,0)</f>
        <v>0</v>
      </c>
      <c r="Z181" s="123">
        <f>IF(AC181=14,I181,0)</f>
        <v>0</v>
      </c>
      <c r="AA181" s="123">
        <f>IF(AC181=20,I181,0)</f>
        <v>0</v>
      </c>
      <c r="AC181" s="125">
        <v>20</v>
      </c>
      <c r="AD181" s="125">
        <f>F181*0</f>
        <v>0</v>
      </c>
      <c r="AE181" s="125">
        <f>F181*(1-0)</f>
        <v>0</v>
      </c>
    </row>
    <row r="182" spans="1:31" s="90" customFormat="1" ht="11.25">
      <c r="A182" s="122" t="s">
        <v>139</v>
      </c>
      <c r="B182" s="122" t="s">
        <v>1139</v>
      </c>
      <c r="C182" s="122" t="s">
        <v>2197</v>
      </c>
      <c r="D182" s="122" t="s">
        <v>3460</v>
      </c>
      <c r="E182" s="123">
        <v>17.63541</v>
      </c>
      <c r="F182" s="123">
        <v>0</v>
      </c>
      <c r="G182" s="123">
        <f>ROUND(E182*AD182,2)</f>
        <v>0</v>
      </c>
      <c r="H182" s="123">
        <f>I182-G182</f>
        <v>0</v>
      </c>
      <c r="I182" s="123">
        <f>ROUND(E182*F182,2)</f>
        <v>0</v>
      </c>
      <c r="J182" s="123">
        <v>0</v>
      </c>
      <c r="K182" s="123">
        <f>E182*J182</f>
        <v>0</v>
      </c>
      <c r="M182" s="124" t="s">
        <v>11</v>
      </c>
      <c r="N182" s="123">
        <f>IF(M182="5",H182,0)</f>
        <v>0</v>
      </c>
      <c r="Y182" s="123">
        <f>IF(AC182=0,I182,0)</f>
        <v>0</v>
      </c>
      <c r="Z182" s="123">
        <f>IF(AC182=14,I182,0)</f>
        <v>0</v>
      </c>
      <c r="AA182" s="123">
        <f>IF(AC182=20,I182,0)</f>
        <v>0</v>
      </c>
      <c r="AC182" s="125">
        <v>20</v>
      </c>
      <c r="AD182" s="125">
        <f>F182*0</f>
        <v>0</v>
      </c>
      <c r="AE182" s="125">
        <f>F182*(1-0)</f>
        <v>0</v>
      </c>
    </row>
    <row r="183" spans="1:36" s="90" customFormat="1" ht="11.25">
      <c r="A183" s="127"/>
      <c r="B183" s="128" t="s">
        <v>62</v>
      </c>
      <c r="C183" s="129" t="s">
        <v>2317</v>
      </c>
      <c r="D183" s="130"/>
      <c r="E183" s="130"/>
      <c r="F183" s="130"/>
      <c r="G183" s="121">
        <f>SUM(G184:G195)</f>
        <v>0</v>
      </c>
      <c r="H183" s="121">
        <f>SUM(H184:H195)</f>
        <v>0</v>
      </c>
      <c r="I183" s="121">
        <f>G183+H183</f>
        <v>0</v>
      </c>
      <c r="J183" s="114"/>
      <c r="K183" s="121">
        <f>SUM(K184:K195)</f>
        <v>806.5709327999998</v>
      </c>
      <c r="O183" s="121">
        <f>IF(P183="PR",I183,SUM(N184:N195))</f>
        <v>0</v>
      </c>
      <c r="P183" s="114" t="s">
        <v>3489</v>
      </c>
      <c r="Q183" s="121">
        <f>IF(P183="HS",G183,0)</f>
        <v>0</v>
      </c>
      <c r="R183" s="121">
        <f>IF(P183="HS",H183-O183,0)</f>
        <v>0</v>
      </c>
      <c r="S183" s="121">
        <f>IF(P183="PS",G183,0)</f>
        <v>0</v>
      </c>
      <c r="T183" s="121">
        <f>IF(P183="PS",H183-O183,0)</f>
        <v>0</v>
      </c>
      <c r="U183" s="121">
        <f>IF(P183="MP",G183,0)</f>
        <v>0</v>
      </c>
      <c r="V183" s="121">
        <f>IF(P183="MP",H183-O183,0)</f>
        <v>0</v>
      </c>
      <c r="W183" s="121">
        <f>IF(P183="OM",G183,0)</f>
        <v>0</v>
      </c>
      <c r="X183" s="114"/>
      <c r="AH183" s="121">
        <f>SUM(Y184:Y195)</f>
        <v>0</v>
      </c>
      <c r="AI183" s="121">
        <f>SUM(Z184:Z195)</f>
        <v>0</v>
      </c>
      <c r="AJ183" s="121">
        <f>SUM(AA184:AA195)</f>
        <v>0</v>
      </c>
    </row>
    <row r="184" spans="1:31" s="90" customFormat="1" ht="11.25">
      <c r="A184" s="122" t="s">
        <v>140</v>
      </c>
      <c r="B184" s="122" t="s">
        <v>1229</v>
      </c>
      <c r="C184" s="122" t="s">
        <v>2318</v>
      </c>
      <c r="D184" s="122" t="s">
        <v>3459</v>
      </c>
      <c r="E184" s="123">
        <v>21</v>
      </c>
      <c r="F184" s="123">
        <v>0</v>
      </c>
      <c r="G184" s="123">
        <f aca="true" t="shared" si="60" ref="G184:G191">ROUND(E184*AD184,2)</f>
        <v>0</v>
      </c>
      <c r="H184" s="123">
        <f aca="true" t="shared" si="61" ref="H184:H191">I184-G184</f>
        <v>0</v>
      </c>
      <c r="I184" s="123">
        <f aca="true" t="shared" si="62" ref="I184:I191">ROUND(E184*F184,2)</f>
        <v>0</v>
      </c>
      <c r="J184" s="123">
        <v>0.30361</v>
      </c>
      <c r="K184" s="123">
        <f aca="true" t="shared" si="63" ref="K184:K191">E184*J184</f>
        <v>6.3758099999999995</v>
      </c>
      <c r="M184" s="124" t="s">
        <v>7</v>
      </c>
      <c r="N184" s="123">
        <f aca="true" t="shared" si="64" ref="N184:N191">IF(M184="5",H184,0)</f>
        <v>0</v>
      </c>
      <c r="Y184" s="123">
        <f aca="true" t="shared" si="65" ref="Y184:Y191">IF(AC184=0,I184,0)</f>
        <v>0</v>
      </c>
      <c r="Z184" s="123">
        <f aca="true" t="shared" si="66" ref="Z184:Z191">IF(AC184=14,I184,0)</f>
        <v>0</v>
      </c>
      <c r="AA184" s="123">
        <f aca="true" t="shared" si="67" ref="AA184:AA191">IF(AC184=20,I184,0)</f>
        <v>0</v>
      </c>
      <c r="AC184" s="125">
        <v>20</v>
      </c>
      <c r="AD184" s="125">
        <f>F184*0.848231827111984</f>
        <v>0</v>
      </c>
      <c r="AE184" s="125">
        <f>F184*(1-0.848231827111984)</f>
        <v>0</v>
      </c>
    </row>
    <row r="185" spans="1:31" s="90" customFormat="1" ht="11.25">
      <c r="A185" s="122" t="s">
        <v>141</v>
      </c>
      <c r="B185" s="122" t="s">
        <v>1230</v>
      </c>
      <c r="C185" s="122" t="s">
        <v>2319</v>
      </c>
      <c r="D185" s="122" t="s">
        <v>3459</v>
      </c>
      <c r="E185" s="123">
        <v>140.44</v>
      </c>
      <c r="F185" s="123">
        <v>0</v>
      </c>
      <c r="G185" s="123">
        <f t="shared" si="60"/>
        <v>0</v>
      </c>
      <c r="H185" s="123">
        <f t="shared" si="61"/>
        <v>0</v>
      </c>
      <c r="I185" s="123">
        <f t="shared" si="62"/>
        <v>0</v>
      </c>
      <c r="J185" s="123">
        <v>0.2916</v>
      </c>
      <c r="K185" s="123">
        <f t="shared" si="63"/>
        <v>40.952304000000005</v>
      </c>
      <c r="M185" s="124" t="s">
        <v>7</v>
      </c>
      <c r="N185" s="123">
        <f t="shared" si="64"/>
        <v>0</v>
      </c>
      <c r="Y185" s="123">
        <f t="shared" si="65"/>
        <v>0</v>
      </c>
      <c r="Z185" s="123">
        <f t="shared" si="66"/>
        <v>0</v>
      </c>
      <c r="AA185" s="123">
        <f t="shared" si="67"/>
        <v>0</v>
      </c>
      <c r="AC185" s="125">
        <v>20</v>
      </c>
      <c r="AD185" s="125">
        <f>F185*0.839683138438325</f>
        <v>0</v>
      </c>
      <c r="AE185" s="125">
        <f>F185*(1-0.839683138438325)</f>
        <v>0</v>
      </c>
    </row>
    <row r="186" spans="1:31" s="90" customFormat="1" ht="11.25">
      <c r="A186" s="122" t="s">
        <v>142</v>
      </c>
      <c r="B186" s="122" t="s">
        <v>1231</v>
      </c>
      <c r="C186" s="122" t="s">
        <v>2320</v>
      </c>
      <c r="D186" s="122" t="s">
        <v>3459</v>
      </c>
      <c r="E186" s="123">
        <v>510.12</v>
      </c>
      <c r="F186" s="123">
        <v>0</v>
      </c>
      <c r="G186" s="123">
        <f t="shared" si="60"/>
        <v>0</v>
      </c>
      <c r="H186" s="123">
        <f t="shared" si="61"/>
        <v>0</v>
      </c>
      <c r="I186" s="123">
        <f t="shared" si="62"/>
        <v>0</v>
      </c>
      <c r="J186" s="123">
        <v>0.38625</v>
      </c>
      <c r="K186" s="123">
        <f t="shared" si="63"/>
        <v>197.03385</v>
      </c>
      <c r="M186" s="124" t="s">
        <v>7</v>
      </c>
      <c r="N186" s="123">
        <f t="shared" si="64"/>
        <v>0</v>
      </c>
      <c r="Y186" s="123">
        <f t="shared" si="65"/>
        <v>0</v>
      </c>
      <c r="Z186" s="123">
        <f t="shared" si="66"/>
        <v>0</v>
      </c>
      <c r="AA186" s="123">
        <f t="shared" si="67"/>
        <v>0</v>
      </c>
      <c r="AC186" s="125">
        <v>20</v>
      </c>
      <c r="AD186" s="125">
        <f>F186*0.85919289044289</f>
        <v>0</v>
      </c>
      <c r="AE186" s="125">
        <f>F186*(1-0.85919289044289)</f>
        <v>0</v>
      </c>
    </row>
    <row r="187" spans="1:31" s="90" customFormat="1" ht="11.25">
      <c r="A187" s="122" t="s">
        <v>143</v>
      </c>
      <c r="B187" s="122" t="s">
        <v>1232</v>
      </c>
      <c r="C187" s="122" t="s">
        <v>2321</v>
      </c>
      <c r="D187" s="122" t="s">
        <v>3458</v>
      </c>
      <c r="E187" s="123">
        <v>154.66</v>
      </c>
      <c r="F187" s="123">
        <v>0</v>
      </c>
      <c r="G187" s="123">
        <f t="shared" si="60"/>
        <v>0</v>
      </c>
      <c r="H187" s="123">
        <f t="shared" si="61"/>
        <v>0</v>
      </c>
      <c r="I187" s="123">
        <f t="shared" si="62"/>
        <v>0</v>
      </c>
      <c r="J187" s="123">
        <v>1.93125</v>
      </c>
      <c r="K187" s="123">
        <f t="shared" si="63"/>
        <v>298.687125</v>
      </c>
      <c r="M187" s="124" t="s">
        <v>7</v>
      </c>
      <c r="N187" s="123">
        <f t="shared" si="64"/>
        <v>0</v>
      </c>
      <c r="Y187" s="123">
        <f t="shared" si="65"/>
        <v>0</v>
      </c>
      <c r="Z187" s="123">
        <f t="shared" si="66"/>
        <v>0</v>
      </c>
      <c r="AA187" s="123">
        <f t="shared" si="67"/>
        <v>0</v>
      </c>
      <c r="AC187" s="125">
        <v>20</v>
      </c>
      <c r="AD187" s="125">
        <f>F187*0.835148239408632</f>
        <v>0</v>
      </c>
      <c r="AE187" s="125">
        <f>F187*(1-0.835148239408632)</f>
        <v>0</v>
      </c>
    </row>
    <row r="188" spans="1:31" s="90" customFormat="1" ht="11.25">
      <c r="A188" s="122" t="s">
        <v>144</v>
      </c>
      <c r="B188" s="122" t="s">
        <v>1233</v>
      </c>
      <c r="C188" s="122" t="s">
        <v>2322</v>
      </c>
      <c r="D188" s="122" t="s">
        <v>3459</v>
      </c>
      <c r="E188" s="123">
        <v>140.44</v>
      </c>
      <c r="F188" s="123">
        <v>0</v>
      </c>
      <c r="G188" s="123">
        <f t="shared" si="60"/>
        <v>0</v>
      </c>
      <c r="H188" s="123">
        <f t="shared" si="61"/>
        <v>0</v>
      </c>
      <c r="I188" s="123">
        <f t="shared" si="62"/>
        <v>0</v>
      </c>
      <c r="J188" s="123">
        <v>0.06185</v>
      </c>
      <c r="K188" s="123">
        <f t="shared" si="63"/>
        <v>8.686214</v>
      </c>
      <c r="M188" s="124" t="s">
        <v>7</v>
      </c>
      <c r="N188" s="123">
        <f t="shared" si="64"/>
        <v>0</v>
      </c>
      <c r="Y188" s="123">
        <f t="shared" si="65"/>
        <v>0</v>
      </c>
      <c r="Z188" s="123">
        <f t="shared" si="66"/>
        <v>0</v>
      </c>
      <c r="AA188" s="123">
        <f t="shared" si="67"/>
        <v>0</v>
      </c>
      <c r="AC188" s="125">
        <v>20</v>
      </c>
      <c r="AD188" s="125">
        <f>F188*0.535714285714286</f>
        <v>0</v>
      </c>
      <c r="AE188" s="125">
        <f>F188*(1-0.535714285714286)</f>
        <v>0</v>
      </c>
    </row>
    <row r="189" spans="1:31" s="90" customFormat="1" ht="11.25">
      <c r="A189" s="122" t="s">
        <v>145</v>
      </c>
      <c r="B189" s="122" t="s">
        <v>1234</v>
      </c>
      <c r="C189" s="122" t="s">
        <v>2323</v>
      </c>
      <c r="D189" s="122" t="s">
        <v>3459</v>
      </c>
      <c r="E189" s="123">
        <v>53.5</v>
      </c>
      <c r="F189" s="123">
        <v>0</v>
      </c>
      <c r="G189" s="123">
        <f t="shared" si="60"/>
        <v>0</v>
      </c>
      <c r="H189" s="123">
        <f t="shared" si="61"/>
        <v>0</v>
      </c>
      <c r="I189" s="123">
        <f t="shared" si="62"/>
        <v>0</v>
      </c>
      <c r="J189" s="123">
        <v>0.08003</v>
      </c>
      <c r="K189" s="123">
        <f t="shared" si="63"/>
        <v>4.281605</v>
      </c>
      <c r="M189" s="124" t="s">
        <v>7</v>
      </c>
      <c r="N189" s="123">
        <f t="shared" si="64"/>
        <v>0</v>
      </c>
      <c r="Y189" s="123">
        <f t="shared" si="65"/>
        <v>0</v>
      </c>
      <c r="Z189" s="123">
        <f t="shared" si="66"/>
        <v>0</v>
      </c>
      <c r="AA189" s="123">
        <f t="shared" si="67"/>
        <v>0</v>
      </c>
      <c r="AC189" s="125">
        <v>20</v>
      </c>
      <c r="AD189" s="125">
        <f>F189*0.591679915209327</f>
        <v>0</v>
      </c>
      <c r="AE189" s="125">
        <f>F189*(1-0.591679915209327)</f>
        <v>0</v>
      </c>
    </row>
    <row r="190" spans="1:31" s="90" customFormat="1" ht="11.25">
      <c r="A190" s="122" t="s">
        <v>146</v>
      </c>
      <c r="B190" s="122" t="s">
        <v>1235</v>
      </c>
      <c r="C190" s="122" t="s">
        <v>2324</v>
      </c>
      <c r="D190" s="122" t="s">
        <v>3459</v>
      </c>
      <c r="E190" s="123">
        <v>140.44</v>
      </c>
      <c r="F190" s="123">
        <v>0</v>
      </c>
      <c r="G190" s="123">
        <f t="shared" si="60"/>
        <v>0</v>
      </c>
      <c r="H190" s="123">
        <f t="shared" si="61"/>
        <v>0</v>
      </c>
      <c r="I190" s="123">
        <f t="shared" si="62"/>
        <v>0</v>
      </c>
      <c r="J190" s="123">
        <v>0.27994</v>
      </c>
      <c r="K190" s="123">
        <f t="shared" si="63"/>
        <v>39.3147736</v>
      </c>
      <c r="M190" s="124" t="s">
        <v>7</v>
      </c>
      <c r="N190" s="123">
        <f t="shared" si="64"/>
        <v>0</v>
      </c>
      <c r="Y190" s="123">
        <f t="shared" si="65"/>
        <v>0</v>
      </c>
      <c r="Z190" s="123">
        <f t="shared" si="66"/>
        <v>0</v>
      </c>
      <c r="AA190" s="123">
        <f t="shared" si="67"/>
        <v>0</v>
      </c>
      <c r="AC190" s="125">
        <v>20</v>
      </c>
      <c r="AD190" s="125">
        <f>F190*0.84053785759408</f>
        <v>0</v>
      </c>
      <c r="AE190" s="125">
        <f>F190*(1-0.84053785759408)</f>
        <v>0</v>
      </c>
    </row>
    <row r="191" spans="1:31" s="90" customFormat="1" ht="11.25">
      <c r="A191" s="122" t="s">
        <v>147</v>
      </c>
      <c r="B191" s="122" t="s">
        <v>1236</v>
      </c>
      <c r="C191" s="122" t="s">
        <v>2325</v>
      </c>
      <c r="D191" s="122" t="s">
        <v>3459</v>
      </c>
      <c r="E191" s="123">
        <v>510.12</v>
      </c>
      <c r="F191" s="123">
        <v>0</v>
      </c>
      <c r="G191" s="123">
        <f t="shared" si="60"/>
        <v>0</v>
      </c>
      <c r="H191" s="123">
        <f t="shared" si="61"/>
        <v>0</v>
      </c>
      <c r="I191" s="123">
        <f t="shared" si="62"/>
        <v>0</v>
      </c>
      <c r="J191" s="123">
        <v>0.26376</v>
      </c>
      <c r="K191" s="123">
        <f t="shared" si="63"/>
        <v>134.5492512</v>
      </c>
      <c r="M191" s="124" t="s">
        <v>7</v>
      </c>
      <c r="N191" s="123">
        <f t="shared" si="64"/>
        <v>0</v>
      </c>
      <c r="Y191" s="123">
        <f t="shared" si="65"/>
        <v>0</v>
      </c>
      <c r="Z191" s="123">
        <f t="shared" si="66"/>
        <v>0</v>
      </c>
      <c r="AA191" s="123">
        <f t="shared" si="67"/>
        <v>0</v>
      </c>
      <c r="AC191" s="125">
        <v>20</v>
      </c>
      <c r="AD191" s="125">
        <f>F191*0.584804502369668</f>
        <v>0</v>
      </c>
      <c r="AE191" s="125">
        <f>F191*(1-0.584804502369668)</f>
        <v>0</v>
      </c>
    </row>
    <row r="192" s="90" customFormat="1" ht="11.25">
      <c r="C192" s="126" t="s">
        <v>2326</v>
      </c>
    </row>
    <row r="193" spans="1:31" s="90" customFormat="1" ht="11.25">
      <c r="A193" s="122" t="s">
        <v>148</v>
      </c>
      <c r="B193" s="122" t="s">
        <v>1237</v>
      </c>
      <c r="C193" s="122" t="s">
        <v>2327</v>
      </c>
      <c r="D193" s="122" t="s">
        <v>3460</v>
      </c>
      <c r="E193" s="123">
        <v>39.9</v>
      </c>
      <c r="F193" s="123">
        <v>0</v>
      </c>
      <c r="G193" s="123">
        <f>ROUND(E193*AD193,2)</f>
        <v>0</v>
      </c>
      <c r="H193" s="123">
        <f>I193-G193</f>
        <v>0</v>
      </c>
      <c r="I193" s="123">
        <f>ROUND(E193*F193,2)</f>
        <v>0</v>
      </c>
      <c r="J193" s="123">
        <v>1.1</v>
      </c>
      <c r="K193" s="123">
        <f>E193*J193</f>
        <v>43.89</v>
      </c>
      <c r="M193" s="124" t="s">
        <v>7</v>
      </c>
      <c r="N193" s="123">
        <f>IF(M193="5",H193,0)</f>
        <v>0</v>
      </c>
      <c r="Y193" s="123">
        <f>IF(AC193=0,I193,0)</f>
        <v>0</v>
      </c>
      <c r="Z193" s="123">
        <f>IF(AC193=14,I193,0)</f>
        <v>0</v>
      </c>
      <c r="AA193" s="123">
        <f>IF(AC193=20,I193,0)</f>
        <v>0</v>
      </c>
      <c r="AC193" s="125">
        <v>20</v>
      </c>
      <c r="AD193" s="125">
        <f>F193*0.908267415156928</f>
        <v>0</v>
      </c>
      <c r="AE193" s="125">
        <f>F193*(1-0.908267415156928)</f>
        <v>0</v>
      </c>
    </row>
    <row r="194" spans="1:31" s="90" customFormat="1" ht="11.25">
      <c r="A194" s="122" t="s">
        <v>149</v>
      </c>
      <c r="B194" s="122" t="s">
        <v>1238</v>
      </c>
      <c r="C194" s="122" t="s">
        <v>2328</v>
      </c>
      <c r="D194" s="122" t="s">
        <v>3460</v>
      </c>
      <c r="E194" s="123">
        <v>32.8</v>
      </c>
      <c r="F194" s="123">
        <v>0</v>
      </c>
      <c r="G194" s="123">
        <f>ROUND(E194*AD194,2)</f>
        <v>0</v>
      </c>
      <c r="H194" s="123">
        <f>I194-G194</f>
        <v>0</v>
      </c>
      <c r="I194" s="123">
        <f>ROUND(E194*F194,2)</f>
        <v>0</v>
      </c>
      <c r="J194" s="123">
        <v>1</v>
      </c>
      <c r="K194" s="123">
        <f>E194*J194</f>
        <v>32.8</v>
      </c>
      <c r="M194" s="124" t="s">
        <v>7</v>
      </c>
      <c r="N194" s="123">
        <f>IF(M194="5",H194,0)</f>
        <v>0</v>
      </c>
      <c r="Y194" s="123">
        <f>IF(AC194=0,I194,0)</f>
        <v>0</v>
      </c>
      <c r="Z194" s="123">
        <f>IF(AC194=14,I194,0)</f>
        <v>0</v>
      </c>
      <c r="AA194" s="123">
        <f>IF(AC194=20,I194,0)</f>
        <v>0</v>
      </c>
      <c r="AC194" s="125">
        <v>20</v>
      </c>
      <c r="AD194" s="125">
        <f>F194*0.944912179743795</f>
        <v>0</v>
      </c>
      <c r="AE194" s="125">
        <f>F194*(1-0.944912179743795)</f>
        <v>0</v>
      </c>
    </row>
    <row r="195" spans="1:31" s="90" customFormat="1" ht="11.25">
      <c r="A195" s="122" t="s">
        <v>150</v>
      </c>
      <c r="B195" s="122" t="s">
        <v>1239</v>
      </c>
      <c r="C195" s="122" t="s">
        <v>2329</v>
      </c>
      <c r="D195" s="122" t="s">
        <v>3460</v>
      </c>
      <c r="E195" s="123">
        <v>806.57093</v>
      </c>
      <c r="F195" s="123">
        <v>0</v>
      </c>
      <c r="G195" s="123">
        <f>ROUND(E195*AD195,2)</f>
        <v>0</v>
      </c>
      <c r="H195" s="123">
        <f>I195-G195</f>
        <v>0</v>
      </c>
      <c r="I195" s="123">
        <f>ROUND(E195*F195,2)</f>
        <v>0</v>
      </c>
      <c r="J195" s="123">
        <v>0</v>
      </c>
      <c r="K195" s="123">
        <f>E195*J195</f>
        <v>0</v>
      </c>
      <c r="M195" s="124" t="s">
        <v>11</v>
      </c>
      <c r="N195" s="123">
        <f>IF(M195="5",H195,0)</f>
        <v>0</v>
      </c>
      <c r="Y195" s="123">
        <f>IF(AC195=0,I195,0)</f>
        <v>0</v>
      </c>
      <c r="Z195" s="123">
        <f>IF(AC195=14,I195,0)</f>
        <v>0</v>
      </c>
      <c r="AA195" s="123">
        <f>IF(AC195=20,I195,0)</f>
        <v>0</v>
      </c>
      <c r="AC195" s="125">
        <v>20</v>
      </c>
      <c r="AD195" s="125">
        <f>F195*0</f>
        <v>0</v>
      </c>
      <c r="AE195" s="125">
        <f>F195*(1-0)</f>
        <v>0</v>
      </c>
    </row>
    <row r="196" spans="1:36" s="90" customFormat="1" ht="11.25">
      <c r="A196" s="127"/>
      <c r="B196" s="128" t="s">
        <v>63</v>
      </c>
      <c r="C196" s="129" t="s">
        <v>2330</v>
      </c>
      <c r="D196" s="130"/>
      <c r="E196" s="130"/>
      <c r="F196" s="130"/>
      <c r="G196" s="121">
        <f>SUM(G197:G204)</f>
        <v>0</v>
      </c>
      <c r="H196" s="121">
        <f>SUM(H197:H204)</f>
        <v>0</v>
      </c>
      <c r="I196" s="121">
        <f>G196+H196</f>
        <v>0</v>
      </c>
      <c r="J196" s="114"/>
      <c r="K196" s="121">
        <f>SUM(K197:K204)</f>
        <v>110.57171919999999</v>
      </c>
      <c r="O196" s="121">
        <f>IF(P196="PR",I196,SUM(N197:N204))</f>
        <v>0</v>
      </c>
      <c r="P196" s="114" t="s">
        <v>3489</v>
      </c>
      <c r="Q196" s="121">
        <f>IF(P196="HS",G196,0)</f>
        <v>0</v>
      </c>
      <c r="R196" s="121">
        <f>IF(P196="HS",H196-O196,0)</f>
        <v>0</v>
      </c>
      <c r="S196" s="121">
        <f>IF(P196="PS",G196,0)</f>
        <v>0</v>
      </c>
      <c r="T196" s="121">
        <f>IF(P196="PS",H196-O196,0)</f>
        <v>0</v>
      </c>
      <c r="U196" s="121">
        <f>IF(P196="MP",G196,0)</f>
        <v>0</v>
      </c>
      <c r="V196" s="121">
        <f>IF(P196="MP",H196-O196,0)</f>
        <v>0</v>
      </c>
      <c r="W196" s="121">
        <f>IF(P196="OM",G196,0)</f>
        <v>0</v>
      </c>
      <c r="X196" s="114"/>
      <c r="AH196" s="121">
        <f>SUM(Y197:Y204)</f>
        <v>0</v>
      </c>
      <c r="AI196" s="121">
        <f>SUM(Z197:Z204)</f>
        <v>0</v>
      </c>
      <c r="AJ196" s="121">
        <f>SUM(AA197:AA204)</f>
        <v>0</v>
      </c>
    </row>
    <row r="197" spans="1:31" s="90" customFormat="1" ht="11.25">
      <c r="A197" s="122" t="s">
        <v>151</v>
      </c>
      <c r="B197" s="122" t="s">
        <v>1240</v>
      </c>
      <c r="C197" s="122" t="s">
        <v>2331</v>
      </c>
      <c r="D197" s="122" t="s">
        <v>3459</v>
      </c>
      <c r="E197" s="123">
        <v>510.12</v>
      </c>
      <c r="F197" s="123">
        <v>0</v>
      </c>
      <c r="G197" s="123">
        <f>ROUND(E197*AD197,2)</f>
        <v>0</v>
      </c>
      <c r="H197" s="123">
        <f>I197-G197</f>
        <v>0</v>
      </c>
      <c r="I197" s="123">
        <f>ROUND(E197*F197,2)</f>
        <v>0</v>
      </c>
      <c r="J197" s="123">
        <v>0.00061</v>
      </c>
      <c r="K197" s="123">
        <f>E197*J197</f>
        <v>0.3111732</v>
      </c>
      <c r="M197" s="124" t="s">
        <v>7</v>
      </c>
      <c r="N197" s="123">
        <f>IF(M197="5",H197,0)</f>
        <v>0</v>
      </c>
      <c r="Y197" s="123">
        <f>IF(AC197=0,I197,0)</f>
        <v>0</v>
      </c>
      <c r="Z197" s="123">
        <f>IF(AC197=14,I197,0)</f>
        <v>0</v>
      </c>
      <c r="AA197" s="123">
        <f>IF(AC197=20,I197,0)</f>
        <v>0</v>
      </c>
      <c r="AC197" s="125">
        <v>20</v>
      </c>
      <c r="AD197" s="125">
        <f>F197*0.91025641025641</f>
        <v>0</v>
      </c>
      <c r="AE197" s="125">
        <f>F197*(1-0.91025641025641)</f>
        <v>0</v>
      </c>
    </row>
    <row r="198" spans="1:31" s="90" customFormat="1" ht="11.25">
      <c r="A198" s="122" t="s">
        <v>152</v>
      </c>
      <c r="B198" s="122" t="s">
        <v>1241</v>
      </c>
      <c r="C198" s="122" t="s">
        <v>2332</v>
      </c>
      <c r="D198" s="122" t="s">
        <v>3459</v>
      </c>
      <c r="E198" s="123">
        <v>315.92</v>
      </c>
      <c r="F198" s="123">
        <v>0</v>
      </c>
      <c r="G198" s="123">
        <f>ROUND(E198*AD198,2)</f>
        <v>0</v>
      </c>
      <c r="H198" s="123">
        <f>I198-G198</f>
        <v>0</v>
      </c>
      <c r="I198" s="123">
        <f>ROUND(E198*F198,2)</f>
        <v>0</v>
      </c>
      <c r="J198" s="123">
        <v>0.10373</v>
      </c>
      <c r="K198" s="123">
        <f>E198*J198</f>
        <v>32.7703816</v>
      </c>
      <c r="M198" s="124" t="s">
        <v>7</v>
      </c>
      <c r="N198" s="123">
        <f>IF(M198="5",H198,0)</f>
        <v>0</v>
      </c>
      <c r="Y198" s="123">
        <f>IF(AC198=0,I198,0)</f>
        <v>0</v>
      </c>
      <c r="Z198" s="123">
        <f>IF(AC198=14,I198,0)</f>
        <v>0</v>
      </c>
      <c r="AA198" s="123">
        <f>IF(AC198=20,I198,0)</f>
        <v>0</v>
      </c>
      <c r="AC198" s="125">
        <v>20</v>
      </c>
      <c r="AD198" s="125">
        <f>F198*0.594361785434612</f>
        <v>0</v>
      </c>
      <c r="AE198" s="125">
        <f>F198*(1-0.594361785434612)</f>
        <v>0</v>
      </c>
    </row>
    <row r="199" s="90" customFormat="1" ht="11.25">
      <c r="C199" s="126" t="s">
        <v>2333</v>
      </c>
    </row>
    <row r="200" spans="1:31" s="90" customFormat="1" ht="11.25">
      <c r="A200" s="122" t="s">
        <v>153</v>
      </c>
      <c r="B200" s="122" t="s">
        <v>1242</v>
      </c>
      <c r="C200" s="122" t="s">
        <v>2334</v>
      </c>
      <c r="D200" s="122" t="s">
        <v>3459</v>
      </c>
      <c r="E200" s="123">
        <v>194.2</v>
      </c>
      <c r="F200" s="123">
        <v>0</v>
      </c>
      <c r="G200" s="123">
        <f>ROUND(E200*AD200,2)</f>
        <v>0</v>
      </c>
      <c r="H200" s="123">
        <f>I200-G200</f>
        <v>0</v>
      </c>
      <c r="I200" s="123">
        <f>ROUND(E200*F200,2)</f>
        <v>0</v>
      </c>
      <c r="J200" s="123">
        <v>0.10373</v>
      </c>
      <c r="K200" s="123">
        <f>E200*J200</f>
        <v>20.144365999999998</v>
      </c>
      <c r="M200" s="124" t="s">
        <v>7</v>
      </c>
      <c r="N200" s="123">
        <f>IF(M200="5",H200,0)</f>
        <v>0</v>
      </c>
      <c r="Y200" s="123">
        <f>IF(AC200=0,I200,0)</f>
        <v>0</v>
      </c>
      <c r="Z200" s="123">
        <f>IF(AC200=14,I200,0)</f>
        <v>0</v>
      </c>
      <c r="AA200" s="123">
        <f>IF(AC200=20,I200,0)</f>
        <v>0</v>
      </c>
      <c r="AC200" s="125">
        <v>20</v>
      </c>
      <c r="AD200" s="125">
        <f>F200*0.602327503098747</f>
        <v>0</v>
      </c>
      <c r="AE200" s="125">
        <f>F200*(1-0.602327503098747)</f>
        <v>0</v>
      </c>
    </row>
    <row r="201" s="90" customFormat="1" ht="11.25">
      <c r="C201" s="126" t="s">
        <v>2333</v>
      </c>
    </row>
    <row r="202" spans="1:31" s="90" customFormat="1" ht="11.25">
      <c r="A202" s="122" t="s">
        <v>154</v>
      </c>
      <c r="B202" s="122" t="s">
        <v>1243</v>
      </c>
      <c r="C202" s="122" t="s">
        <v>2335</v>
      </c>
      <c r="D202" s="122" t="s">
        <v>3459</v>
      </c>
      <c r="E202" s="123">
        <v>315.92</v>
      </c>
      <c r="F202" s="123">
        <v>0</v>
      </c>
      <c r="G202" s="123">
        <f>ROUND(E202*AD202,2)</f>
        <v>0</v>
      </c>
      <c r="H202" s="123">
        <f>I202-G202</f>
        <v>0</v>
      </c>
      <c r="I202" s="123">
        <f>ROUND(E202*F202,2)</f>
        <v>0</v>
      </c>
      <c r="J202" s="123">
        <v>0.18152</v>
      </c>
      <c r="K202" s="123">
        <f>E202*J202</f>
        <v>57.3457984</v>
      </c>
      <c r="M202" s="124" t="s">
        <v>7</v>
      </c>
      <c r="N202" s="123">
        <f>IF(M202="5",H202,0)</f>
        <v>0</v>
      </c>
      <c r="Y202" s="123">
        <f>IF(AC202=0,I202,0)</f>
        <v>0</v>
      </c>
      <c r="Z202" s="123">
        <f>IF(AC202=14,I202,0)</f>
        <v>0</v>
      </c>
      <c r="AA202" s="123">
        <f>IF(AC202=20,I202,0)</f>
        <v>0</v>
      </c>
      <c r="AC202" s="125">
        <v>20</v>
      </c>
      <c r="AD202" s="125">
        <f>F202*0.600954949378841</f>
        <v>0</v>
      </c>
      <c r="AE202" s="125">
        <f>F202*(1-0.600954949378841)</f>
        <v>0</v>
      </c>
    </row>
    <row r="203" s="90" customFormat="1" ht="11.25">
      <c r="C203" s="126" t="s">
        <v>2333</v>
      </c>
    </row>
    <row r="204" spans="1:31" s="90" customFormat="1" ht="11.25">
      <c r="A204" s="122" t="s">
        <v>155</v>
      </c>
      <c r="B204" s="122" t="s">
        <v>1239</v>
      </c>
      <c r="C204" s="122" t="s">
        <v>2329</v>
      </c>
      <c r="D204" s="122" t="s">
        <v>3460</v>
      </c>
      <c r="E204" s="123">
        <v>110.57172</v>
      </c>
      <c r="F204" s="123">
        <v>0</v>
      </c>
      <c r="G204" s="123">
        <f>ROUND(E204*AD204,2)</f>
        <v>0</v>
      </c>
      <c r="H204" s="123">
        <f>I204-G204</f>
        <v>0</v>
      </c>
      <c r="I204" s="123">
        <f>ROUND(E204*F204,2)</f>
        <v>0</v>
      </c>
      <c r="J204" s="123">
        <v>0</v>
      </c>
      <c r="K204" s="123">
        <f>E204*J204</f>
        <v>0</v>
      </c>
      <c r="M204" s="124" t="s">
        <v>11</v>
      </c>
      <c r="N204" s="123">
        <f>IF(M204="5",H204,0)</f>
        <v>0</v>
      </c>
      <c r="Y204" s="123">
        <f>IF(AC204=0,I204,0)</f>
        <v>0</v>
      </c>
      <c r="Z204" s="123">
        <f>IF(AC204=14,I204,0)</f>
        <v>0</v>
      </c>
      <c r="AA204" s="123">
        <f>IF(AC204=20,I204,0)</f>
        <v>0</v>
      </c>
      <c r="AC204" s="125">
        <v>20</v>
      </c>
      <c r="AD204" s="125">
        <f>F204*0</f>
        <v>0</v>
      </c>
      <c r="AE204" s="125">
        <f>F204*(1-0)</f>
        <v>0</v>
      </c>
    </row>
    <row r="205" spans="1:36" s="90" customFormat="1" ht="11.25">
      <c r="A205" s="127"/>
      <c r="B205" s="128" t="s">
        <v>65</v>
      </c>
      <c r="C205" s="129" t="s">
        <v>2336</v>
      </c>
      <c r="D205" s="130"/>
      <c r="E205" s="130"/>
      <c r="F205" s="130"/>
      <c r="G205" s="121">
        <f>SUM(G206:G215)</f>
        <v>0</v>
      </c>
      <c r="H205" s="121">
        <f>SUM(H206:H215)</f>
        <v>0</v>
      </c>
      <c r="I205" s="121">
        <f>G205+H205</f>
        <v>0</v>
      </c>
      <c r="J205" s="114"/>
      <c r="K205" s="121">
        <f>SUM(K206:K215)</f>
        <v>58.10464499999999</v>
      </c>
      <c r="O205" s="121">
        <f>IF(P205="PR",I205,SUM(N206:N215))</f>
        <v>0</v>
      </c>
      <c r="P205" s="114" t="s">
        <v>3489</v>
      </c>
      <c r="Q205" s="121">
        <f>IF(P205="HS",G205,0)</f>
        <v>0</v>
      </c>
      <c r="R205" s="121">
        <f>IF(P205="HS",H205-O205,0)</f>
        <v>0</v>
      </c>
      <c r="S205" s="121">
        <f>IF(P205="PS",G205,0)</f>
        <v>0</v>
      </c>
      <c r="T205" s="121">
        <f>IF(P205="PS",H205-O205,0)</f>
        <v>0</v>
      </c>
      <c r="U205" s="121">
        <f>IF(P205="MP",G205,0)</f>
        <v>0</v>
      </c>
      <c r="V205" s="121">
        <f>IF(P205="MP",H205-O205,0)</f>
        <v>0</v>
      </c>
      <c r="W205" s="121">
        <f>IF(P205="OM",G205,0)</f>
        <v>0</v>
      </c>
      <c r="X205" s="114"/>
      <c r="AH205" s="121">
        <f>SUM(Y206:Y215)</f>
        <v>0</v>
      </c>
      <c r="AI205" s="121">
        <f>SUM(Z206:Z215)</f>
        <v>0</v>
      </c>
      <c r="AJ205" s="121">
        <f>SUM(AA206:AA215)</f>
        <v>0</v>
      </c>
    </row>
    <row r="206" spans="1:31" s="90" customFormat="1" ht="11.25">
      <c r="A206" s="131" t="s">
        <v>156</v>
      </c>
      <c r="B206" s="131" t="s">
        <v>1244</v>
      </c>
      <c r="C206" s="131" t="s">
        <v>2337</v>
      </c>
      <c r="D206" s="131" t="s">
        <v>3456</v>
      </c>
      <c r="E206" s="132">
        <v>42.42</v>
      </c>
      <c r="F206" s="132">
        <v>0</v>
      </c>
      <c r="G206" s="132">
        <f aca="true" t="shared" si="68" ref="G206:G213">ROUND(E206*AD206,2)</f>
        <v>0</v>
      </c>
      <c r="H206" s="132">
        <f aca="true" t="shared" si="69" ref="H206:H213">I206-G206</f>
        <v>0</v>
      </c>
      <c r="I206" s="132">
        <f aca="true" t="shared" si="70" ref="I206:I213">ROUND(E206*F206,2)</f>
        <v>0</v>
      </c>
      <c r="J206" s="132">
        <v>0.0341</v>
      </c>
      <c r="K206" s="132">
        <f aca="true" t="shared" si="71" ref="K206:K213">E206*J206</f>
        <v>1.446522</v>
      </c>
      <c r="M206" s="133" t="s">
        <v>1101</v>
      </c>
      <c r="N206" s="132">
        <f aca="true" t="shared" si="72" ref="N206:N213">IF(M206="5",H206,0)</f>
        <v>0</v>
      </c>
      <c r="Y206" s="132">
        <f aca="true" t="shared" si="73" ref="Y206:Y213">IF(AC206=0,I206,0)</f>
        <v>0</v>
      </c>
      <c r="Z206" s="132">
        <f aca="true" t="shared" si="74" ref="Z206:Z213">IF(AC206=14,I206,0)</f>
        <v>0</v>
      </c>
      <c r="AA206" s="132">
        <f aca="true" t="shared" si="75" ref="AA206:AA213">IF(AC206=20,I206,0)</f>
        <v>0</v>
      </c>
      <c r="AC206" s="125">
        <v>20</v>
      </c>
      <c r="AD206" s="125">
        <f>F206*1</f>
        <v>0</v>
      </c>
      <c r="AE206" s="125">
        <f>F206*(1-1)</f>
        <v>0</v>
      </c>
    </row>
    <row r="207" spans="1:31" s="90" customFormat="1" ht="11.25">
      <c r="A207" s="131" t="s">
        <v>157</v>
      </c>
      <c r="B207" s="131" t="s">
        <v>1245</v>
      </c>
      <c r="C207" s="131" t="s">
        <v>2338</v>
      </c>
      <c r="D207" s="131" t="s">
        <v>3456</v>
      </c>
      <c r="E207" s="132">
        <v>1.01</v>
      </c>
      <c r="F207" s="132">
        <v>0</v>
      </c>
      <c r="G207" s="132">
        <f t="shared" si="68"/>
        <v>0</v>
      </c>
      <c r="H207" s="132">
        <f t="shared" si="69"/>
        <v>0</v>
      </c>
      <c r="I207" s="132">
        <f t="shared" si="70"/>
        <v>0</v>
      </c>
      <c r="J207" s="132">
        <v>0.0202</v>
      </c>
      <c r="K207" s="132">
        <f t="shared" si="71"/>
        <v>0.020402</v>
      </c>
      <c r="M207" s="133" t="s">
        <v>1101</v>
      </c>
      <c r="N207" s="132">
        <f t="shared" si="72"/>
        <v>0</v>
      </c>
      <c r="Y207" s="132">
        <f t="shared" si="73"/>
        <v>0</v>
      </c>
      <c r="Z207" s="132">
        <f t="shared" si="74"/>
        <v>0</v>
      </c>
      <c r="AA207" s="132">
        <f t="shared" si="75"/>
        <v>0</v>
      </c>
      <c r="AC207" s="125">
        <v>20</v>
      </c>
      <c r="AD207" s="125">
        <f>F207*1</f>
        <v>0</v>
      </c>
      <c r="AE207" s="125">
        <f>F207*(1-1)</f>
        <v>0</v>
      </c>
    </row>
    <row r="208" spans="1:31" s="90" customFormat="1" ht="11.25">
      <c r="A208" s="131" t="s">
        <v>158</v>
      </c>
      <c r="B208" s="131" t="s">
        <v>1246</v>
      </c>
      <c r="C208" s="131" t="s">
        <v>2339</v>
      </c>
      <c r="D208" s="131" t="s">
        <v>3459</v>
      </c>
      <c r="E208" s="132">
        <v>141.84</v>
      </c>
      <c r="F208" s="132">
        <v>0</v>
      </c>
      <c r="G208" s="132">
        <f t="shared" si="68"/>
        <v>0</v>
      </c>
      <c r="H208" s="132">
        <f t="shared" si="69"/>
        <v>0</v>
      </c>
      <c r="I208" s="132">
        <f t="shared" si="70"/>
        <v>0</v>
      </c>
      <c r="J208" s="132">
        <v>0.176</v>
      </c>
      <c r="K208" s="132">
        <f t="shared" si="71"/>
        <v>24.963839999999998</v>
      </c>
      <c r="M208" s="133" t="s">
        <v>1101</v>
      </c>
      <c r="N208" s="132">
        <f t="shared" si="72"/>
        <v>0</v>
      </c>
      <c r="Y208" s="132">
        <f t="shared" si="73"/>
        <v>0</v>
      </c>
      <c r="Z208" s="132">
        <f t="shared" si="74"/>
        <v>0</v>
      </c>
      <c r="AA208" s="132">
        <f t="shared" si="75"/>
        <v>0</v>
      </c>
      <c r="AC208" s="125">
        <v>20</v>
      </c>
      <c r="AD208" s="125">
        <f>F208*1</f>
        <v>0</v>
      </c>
      <c r="AE208" s="125">
        <f>F208*(1-1)</f>
        <v>0</v>
      </c>
    </row>
    <row r="209" spans="1:31" s="90" customFormat="1" ht="11.25">
      <c r="A209" s="131" t="s">
        <v>159</v>
      </c>
      <c r="B209" s="131" t="s">
        <v>1247</v>
      </c>
      <c r="C209" s="131" t="s">
        <v>2340</v>
      </c>
      <c r="D209" s="131" t="s">
        <v>3459</v>
      </c>
      <c r="E209" s="132">
        <v>11.78</v>
      </c>
      <c r="F209" s="132">
        <v>0</v>
      </c>
      <c r="G209" s="132">
        <f t="shared" si="68"/>
        <v>0</v>
      </c>
      <c r="H209" s="132">
        <f t="shared" si="69"/>
        <v>0</v>
      </c>
      <c r="I209" s="132">
        <f t="shared" si="70"/>
        <v>0</v>
      </c>
      <c r="J209" s="132">
        <v>0.131</v>
      </c>
      <c r="K209" s="132">
        <f t="shared" si="71"/>
        <v>1.54318</v>
      </c>
      <c r="M209" s="133" t="s">
        <v>1101</v>
      </c>
      <c r="N209" s="132">
        <f t="shared" si="72"/>
        <v>0</v>
      </c>
      <c r="Y209" s="132">
        <f t="shared" si="73"/>
        <v>0</v>
      </c>
      <c r="Z209" s="132">
        <f t="shared" si="74"/>
        <v>0</v>
      </c>
      <c r="AA209" s="132">
        <f t="shared" si="75"/>
        <v>0</v>
      </c>
      <c r="AC209" s="125">
        <v>20</v>
      </c>
      <c r="AD209" s="125">
        <f>F209*1</f>
        <v>0</v>
      </c>
      <c r="AE209" s="125">
        <f>F209*(1-1)</f>
        <v>0</v>
      </c>
    </row>
    <row r="210" spans="1:31" s="90" customFormat="1" ht="11.25">
      <c r="A210" s="131" t="s">
        <v>160</v>
      </c>
      <c r="B210" s="131" t="s">
        <v>1248</v>
      </c>
      <c r="C210" s="131" t="s">
        <v>2341</v>
      </c>
      <c r="D210" s="131" t="s">
        <v>3459</v>
      </c>
      <c r="E210" s="132">
        <v>42.26</v>
      </c>
      <c r="F210" s="132">
        <v>0</v>
      </c>
      <c r="G210" s="132">
        <f t="shared" si="68"/>
        <v>0</v>
      </c>
      <c r="H210" s="132">
        <f t="shared" si="69"/>
        <v>0</v>
      </c>
      <c r="I210" s="132">
        <f t="shared" si="70"/>
        <v>0</v>
      </c>
      <c r="J210" s="132">
        <v>0.131</v>
      </c>
      <c r="K210" s="132">
        <f t="shared" si="71"/>
        <v>5.53606</v>
      </c>
      <c r="M210" s="133" t="s">
        <v>1101</v>
      </c>
      <c r="N210" s="132">
        <f t="shared" si="72"/>
        <v>0</v>
      </c>
      <c r="Y210" s="132">
        <f t="shared" si="73"/>
        <v>0</v>
      </c>
      <c r="Z210" s="132">
        <f t="shared" si="74"/>
        <v>0</v>
      </c>
      <c r="AA210" s="132">
        <f t="shared" si="75"/>
        <v>0</v>
      </c>
      <c r="AC210" s="125">
        <v>20</v>
      </c>
      <c r="AD210" s="125">
        <f>F210*1</f>
        <v>0</v>
      </c>
      <c r="AE210" s="125">
        <f>F210*(1-1)</f>
        <v>0</v>
      </c>
    </row>
    <row r="211" spans="1:31" s="90" customFormat="1" ht="11.25">
      <c r="A211" s="122" t="s">
        <v>161</v>
      </c>
      <c r="B211" s="122" t="s">
        <v>1249</v>
      </c>
      <c r="C211" s="122" t="s">
        <v>2342</v>
      </c>
      <c r="D211" s="122" t="s">
        <v>3459</v>
      </c>
      <c r="E211" s="123">
        <v>53.5</v>
      </c>
      <c r="F211" s="123">
        <v>0</v>
      </c>
      <c r="G211" s="123">
        <f t="shared" si="68"/>
        <v>0</v>
      </c>
      <c r="H211" s="123">
        <f t="shared" si="69"/>
        <v>0</v>
      </c>
      <c r="I211" s="123">
        <f t="shared" si="70"/>
        <v>0</v>
      </c>
      <c r="J211" s="123">
        <v>0.0739</v>
      </c>
      <c r="K211" s="123">
        <f t="shared" si="71"/>
        <v>3.9536499999999997</v>
      </c>
      <c r="M211" s="124" t="s">
        <v>7</v>
      </c>
      <c r="N211" s="123">
        <f t="shared" si="72"/>
        <v>0</v>
      </c>
      <c r="Y211" s="123">
        <f t="shared" si="73"/>
        <v>0</v>
      </c>
      <c r="Z211" s="123">
        <f t="shared" si="74"/>
        <v>0</v>
      </c>
      <c r="AA211" s="123">
        <f t="shared" si="75"/>
        <v>0</v>
      </c>
      <c r="AC211" s="125">
        <v>20</v>
      </c>
      <c r="AD211" s="125">
        <f>F211*0.170964283699148</f>
        <v>0</v>
      </c>
      <c r="AE211" s="125">
        <f>F211*(1-0.170964283699148)</f>
        <v>0</v>
      </c>
    </row>
    <row r="212" spans="1:31" s="90" customFormat="1" ht="11.25">
      <c r="A212" s="122" t="s">
        <v>162</v>
      </c>
      <c r="B212" s="122" t="s">
        <v>1250</v>
      </c>
      <c r="C212" s="122" t="s">
        <v>2343</v>
      </c>
      <c r="D212" s="122" t="s">
        <v>3459</v>
      </c>
      <c r="E212" s="123">
        <v>140.44</v>
      </c>
      <c r="F212" s="123">
        <v>0</v>
      </c>
      <c r="G212" s="123">
        <f t="shared" si="68"/>
        <v>0</v>
      </c>
      <c r="H212" s="123">
        <f t="shared" si="69"/>
        <v>0</v>
      </c>
      <c r="I212" s="123">
        <f t="shared" si="70"/>
        <v>0</v>
      </c>
      <c r="J212" s="123">
        <v>0.0739</v>
      </c>
      <c r="K212" s="123">
        <f t="shared" si="71"/>
        <v>10.378516</v>
      </c>
      <c r="M212" s="124" t="s">
        <v>7</v>
      </c>
      <c r="N212" s="123">
        <f t="shared" si="72"/>
        <v>0</v>
      </c>
      <c r="Y212" s="123">
        <f t="shared" si="73"/>
        <v>0</v>
      </c>
      <c r="Z212" s="123">
        <f t="shared" si="74"/>
        <v>0</v>
      </c>
      <c r="AA212" s="123">
        <f t="shared" si="75"/>
        <v>0</v>
      </c>
      <c r="AC212" s="125">
        <v>20</v>
      </c>
      <c r="AD212" s="125">
        <f>F212*0.164005412719892</f>
        <v>0</v>
      </c>
      <c r="AE212" s="125">
        <f>F212*(1-0.164005412719892)</f>
        <v>0</v>
      </c>
    </row>
    <row r="213" spans="1:31" s="90" customFormat="1" ht="11.25">
      <c r="A213" s="122" t="s">
        <v>163</v>
      </c>
      <c r="B213" s="122" t="s">
        <v>1251</v>
      </c>
      <c r="C213" s="122" t="s">
        <v>2344</v>
      </c>
      <c r="D213" s="122" t="s">
        <v>3455</v>
      </c>
      <c r="E213" s="123">
        <v>42.5</v>
      </c>
      <c r="F213" s="123">
        <v>0</v>
      </c>
      <c r="G213" s="123">
        <f t="shared" si="68"/>
        <v>0</v>
      </c>
      <c r="H213" s="123">
        <f t="shared" si="69"/>
        <v>0</v>
      </c>
      <c r="I213" s="123">
        <f t="shared" si="70"/>
        <v>0</v>
      </c>
      <c r="J213" s="123">
        <v>0.24147</v>
      </c>
      <c r="K213" s="123">
        <f t="shared" si="71"/>
        <v>10.262475</v>
      </c>
      <c r="M213" s="124" t="s">
        <v>7</v>
      </c>
      <c r="N213" s="123">
        <f t="shared" si="72"/>
        <v>0</v>
      </c>
      <c r="Y213" s="123">
        <f t="shared" si="73"/>
        <v>0</v>
      </c>
      <c r="Z213" s="123">
        <f t="shared" si="74"/>
        <v>0</v>
      </c>
      <c r="AA213" s="123">
        <f t="shared" si="75"/>
        <v>0</v>
      </c>
      <c r="AC213" s="125">
        <v>20</v>
      </c>
      <c r="AD213" s="125">
        <f>F213*0.598274393427307</f>
        <v>0</v>
      </c>
      <c r="AE213" s="125">
        <f>F213*(1-0.598274393427307)</f>
        <v>0</v>
      </c>
    </row>
    <row r="214" s="90" customFormat="1" ht="11.25">
      <c r="C214" s="126" t="s">
        <v>2345</v>
      </c>
    </row>
    <row r="215" spans="1:31" s="90" customFormat="1" ht="11.25">
      <c r="A215" s="122" t="s">
        <v>164</v>
      </c>
      <c r="B215" s="122" t="s">
        <v>1252</v>
      </c>
      <c r="C215" s="122" t="s">
        <v>2346</v>
      </c>
      <c r="D215" s="122" t="s">
        <v>3460</v>
      </c>
      <c r="E215" s="123">
        <v>58.10465</v>
      </c>
      <c r="F215" s="123">
        <v>0</v>
      </c>
      <c r="G215" s="123">
        <f>ROUND(E215*AD215,2)</f>
        <v>0</v>
      </c>
      <c r="H215" s="123">
        <f>I215-G215</f>
        <v>0</v>
      </c>
      <c r="I215" s="123">
        <f>ROUND(E215*F215,2)</f>
        <v>0</v>
      </c>
      <c r="J215" s="123">
        <v>0</v>
      </c>
      <c r="K215" s="123">
        <f>E215*J215</f>
        <v>0</v>
      </c>
      <c r="M215" s="124" t="s">
        <v>11</v>
      </c>
      <c r="N215" s="123">
        <f>IF(M215="5",H215,0)</f>
        <v>0</v>
      </c>
      <c r="Y215" s="123">
        <f>IF(AC215=0,I215,0)</f>
        <v>0</v>
      </c>
      <c r="Z215" s="123">
        <f>IF(AC215=14,I215,0)</f>
        <v>0</v>
      </c>
      <c r="AA215" s="123">
        <f>IF(AC215=20,I215,0)</f>
        <v>0</v>
      </c>
      <c r="AC215" s="125">
        <v>20</v>
      </c>
      <c r="AD215" s="125">
        <f>F215*0</f>
        <v>0</v>
      </c>
      <c r="AE215" s="125">
        <f>F215*(1-0)</f>
        <v>0</v>
      </c>
    </row>
    <row r="216" spans="1:36" s="90" customFormat="1" ht="11.25">
      <c r="A216" s="127"/>
      <c r="B216" s="128" t="s">
        <v>67</v>
      </c>
      <c r="C216" s="129" t="s">
        <v>2347</v>
      </c>
      <c r="D216" s="130"/>
      <c r="E216" s="130"/>
      <c r="F216" s="130"/>
      <c r="G216" s="121">
        <f>SUM(G217:G227)</f>
        <v>0</v>
      </c>
      <c r="H216" s="121">
        <f>SUM(H217:H227)</f>
        <v>0</v>
      </c>
      <c r="I216" s="121">
        <f>G216+H216</f>
        <v>0</v>
      </c>
      <c r="J216" s="114"/>
      <c r="K216" s="121">
        <f>SUM(K217:K227)</f>
        <v>184.3245167</v>
      </c>
      <c r="O216" s="121">
        <f>IF(P216="PR",I216,SUM(N217:N227))</f>
        <v>0</v>
      </c>
      <c r="P216" s="114" t="s">
        <v>3489</v>
      </c>
      <c r="Q216" s="121">
        <f>IF(P216="HS",G216,0)</f>
        <v>0</v>
      </c>
      <c r="R216" s="121">
        <f>IF(P216="HS",H216-O216,0)</f>
        <v>0</v>
      </c>
      <c r="S216" s="121">
        <f>IF(P216="PS",G216,0)</f>
        <v>0</v>
      </c>
      <c r="T216" s="121">
        <f>IF(P216="PS",H216-O216,0)</f>
        <v>0</v>
      </c>
      <c r="U216" s="121">
        <f>IF(P216="MP",G216,0)</f>
        <v>0</v>
      </c>
      <c r="V216" s="121">
        <f>IF(P216="MP",H216-O216,0)</f>
        <v>0</v>
      </c>
      <c r="W216" s="121">
        <f>IF(P216="OM",G216,0)</f>
        <v>0</v>
      </c>
      <c r="X216" s="114"/>
      <c r="AH216" s="121">
        <f>SUM(Y217:Y227)</f>
        <v>0</v>
      </c>
      <c r="AI216" s="121">
        <f>SUM(Z217:Z227)</f>
        <v>0</v>
      </c>
      <c r="AJ216" s="121">
        <f>SUM(AA217:AA227)</f>
        <v>0</v>
      </c>
    </row>
    <row r="217" spans="1:31" s="90" customFormat="1" ht="11.25">
      <c r="A217" s="122" t="s">
        <v>165</v>
      </c>
      <c r="B217" s="122" t="s">
        <v>1253</v>
      </c>
      <c r="C217" s="122" t="s">
        <v>2348</v>
      </c>
      <c r="D217" s="122" t="s">
        <v>3459</v>
      </c>
      <c r="E217" s="123">
        <v>215.71</v>
      </c>
      <c r="F217" s="123">
        <v>0</v>
      </c>
      <c r="G217" s="123">
        <f>ROUND(E217*AD217,2)</f>
        <v>0</v>
      </c>
      <c r="H217" s="123">
        <f>I217-G217</f>
        <v>0</v>
      </c>
      <c r="I217" s="123">
        <f>ROUND(E217*F217,2)</f>
        <v>0</v>
      </c>
      <c r="J217" s="123">
        <v>4E-05</v>
      </c>
      <c r="K217" s="123">
        <f>E217*J217</f>
        <v>0.008628400000000001</v>
      </c>
      <c r="M217" s="124" t="s">
        <v>7</v>
      </c>
      <c r="N217" s="123">
        <f>IF(M217="5",H217,0)</f>
        <v>0</v>
      </c>
      <c r="Y217" s="123">
        <f>IF(AC217=0,I217,0)</f>
        <v>0</v>
      </c>
      <c r="Z217" s="123">
        <f>IF(AC217=14,I217,0)</f>
        <v>0</v>
      </c>
      <c r="AA217" s="123">
        <f>IF(AC217=20,I217,0)</f>
        <v>0</v>
      </c>
      <c r="AC217" s="125">
        <v>20</v>
      </c>
      <c r="AD217" s="125">
        <f>F217*0.40116490717146</f>
        <v>0</v>
      </c>
      <c r="AE217" s="125">
        <f>F217*(1-0.40116490717146)</f>
        <v>0</v>
      </c>
    </row>
    <row r="218" spans="1:31" s="90" customFormat="1" ht="11.25">
      <c r="A218" s="122" t="s">
        <v>166</v>
      </c>
      <c r="B218" s="122" t="s">
        <v>1254</v>
      </c>
      <c r="C218" s="122" t="s">
        <v>2349</v>
      </c>
      <c r="D218" s="122" t="s">
        <v>3459</v>
      </c>
      <c r="E218" s="123">
        <v>496.85</v>
      </c>
      <c r="F218" s="123">
        <v>0</v>
      </c>
      <c r="G218" s="123">
        <f>ROUND(E218*AD218,2)</f>
        <v>0</v>
      </c>
      <c r="H218" s="123">
        <f>I218-G218</f>
        <v>0</v>
      </c>
      <c r="I218" s="123">
        <f>ROUND(E218*F218,2)</f>
        <v>0</v>
      </c>
      <c r="J218" s="123">
        <v>0.05123</v>
      </c>
      <c r="K218" s="123">
        <f>E218*J218</f>
        <v>25.4536255</v>
      </c>
      <c r="M218" s="124" t="s">
        <v>9</v>
      </c>
      <c r="N218" s="123">
        <f>IF(M218="5",H218,0)</f>
        <v>0</v>
      </c>
      <c r="Y218" s="123">
        <f>IF(AC218=0,I218,0)</f>
        <v>0</v>
      </c>
      <c r="Z218" s="123">
        <f>IF(AC218=14,I218,0)</f>
        <v>0</v>
      </c>
      <c r="AA218" s="123">
        <f>IF(AC218=20,I218,0)</f>
        <v>0</v>
      </c>
      <c r="AC218" s="125">
        <v>20</v>
      </c>
      <c r="AD218" s="125">
        <f>F218*0.199055587247259</f>
        <v>0</v>
      </c>
      <c r="AE218" s="125">
        <f>F218*(1-0.199055587247259)</f>
        <v>0</v>
      </c>
    </row>
    <row r="219" s="90" customFormat="1" ht="11.25">
      <c r="C219" s="126" t="s">
        <v>2350</v>
      </c>
    </row>
    <row r="220" spans="1:31" s="90" customFormat="1" ht="11.25">
      <c r="A220" s="122" t="s">
        <v>167</v>
      </c>
      <c r="B220" s="122" t="s">
        <v>1255</v>
      </c>
      <c r="C220" s="122" t="s">
        <v>2351</v>
      </c>
      <c r="D220" s="122" t="s">
        <v>3459</v>
      </c>
      <c r="E220" s="123">
        <v>3295.31</v>
      </c>
      <c r="F220" s="123">
        <v>0</v>
      </c>
      <c r="G220" s="123">
        <f>ROUND(E220*AD220,2)</f>
        <v>0</v>
      </c>
      <c r="H220" s="123">
        <f>I220-G220</f>
        <v>0</v>
      </c>
      <c r="I220" s="123">
        <f>ROUND(E220*F220,2)</f>
        <v>0</v>
      </c>
      <c r="J220" s="123">
        <v>0.00895</v>
      </c>
      <c r="K220" s="123">
        <f>E220*J220</f>
        <v>29.493024499999997</v>
      </c>
      <c r="M220" s="124" t="s">
        <v>7</v>
      </c>
      <c r="N220" s="123">
        <f>IF(M220="5",H220,0)</f>
        <v>0</v>
      </c>
      <c r="Y220" s="123">
        <f>IF(AC220=0,I220,0)</f>
        <v>0</v>
      </c>
      <c r="Z220" s="123">
        <f>IF(AC220=14,I220,0)</f>
        <v>0</v>
      </c>
      <c r="AA220" s="123">
        <f>IF(AC220=20,I220,0)</f>
        <v>0</v>
      </c>
      <c r="AC220" s="125">
        <v>20</v>
      </c>
      <c r="AD220" s="125">
        <f>F220*0.328897338403042</f>
        <v>0</v>
      </c>
      <c r="AE220" s="125">
        <f>F220*(1-0.328897338403042)</f>
        <v>0</v>
      </c>
    </row>
    <row r="221" spans="1:31" s="90" customFormat="1" ht="11.25">
      <c r="A221" s="122" t="s">
        <v>168</v>
      </c>
      <c r="B221" s="122" t="s">
        <v>1256</v>
      </c>
      <c r="C221" s="122" t="s">
        <v>2352</v>
      </c>
      <c r="D221" s="122" t="s">
        <v>3459</v>
      </c>
      <c r="E221" s="123">
        <v>495.79</v>
      </c>
      <c r="F221" s="123">
        <v>0</v>
      </c>
      <c r="G221" s="123">
        <f>ROUND(E221*AD221,2)</f>
        <v>0</v>
      </c>
      <c r="H221" s="123">
        <f>I221-G221</f>
        <v>0</v>
      </c>
      <c r="I221" s="123">
        <f>ROUND(E221*F221,2)</f>
        <v>0</v>
      </c>
      <c r="J221" s="123">
        <v>0.04454</v>
      </c>
      <c r="K221" s="123">
        <f>E221*J221</f>
        <v>22.082486600000003</v>
      </c>
      <c r="M221" s="124" t="s">
        <v>9</v>
      </c>
      <c r="N221" s="123">
        <f>IF(M221="5",H221,0)</f>
        <v>0</v>
      </c>
      <c r="Y221" s="123">
        <f>IF(AC221=0,I221,0)</f>
        <v>0</v>
      </c>
      <c r="Z221" s="123">
        <f>IF(AC221=14,I221,0)</f>
        <v>0</v>
      </c>
      <c r="AA221" s="123">
        <f>IF(AC221=20,I221,0)</f>
        <v>0</v>
      </c>
      <c r="AC221" s="125">
        <v>20</v>
      </c>
      <c r="AD221" s="125">
        <f>F221*0.228512997147624</f>
        <v>0</v>
      </c>
      <c r="AE221" s="125">
        <f>F221*(1-0.228512997147624)</f>
        <v>0</v>
      </c>
    </row>
    <row r="222" s="90" customFormat="1" ht="11.25">
      <c r="C222" s="126" t="s">
        <v>2350</v>
      </c>
    </row>
    <row r="223" spans="1:31" s="90" customFormat="1" ht="11.25">
      <c r="A223" s="122" t="s">
        <v>169</v>
      </c>
      <c r="B223" s="122" t="s">
        <v>1257</v>
      </c>
      <c r="C223" s="122" t="s">
        <v>2353</v>
      </c>
      <c r="D223" s="122" t="s">
        <v>3459</v>
      </c>
      <c r="E223" s="123">
        <v>2067.16</v>
      </c>
      <c r="F223" s="123">
        <v>0</v>
      </c>
      <c r="G223" s="123">
        <f>ROUND(E223*AD223,2)</f>
        <v>0</v>
      </c>
      <c r="H223" s="123">
        <f>I223-G223</f>
        <v>0</v>
      </c>
      <c r="I223" s="123">
        <f>ROUND(E223*F223,2)</f>
        <v>0</v>
      </c>
      <c r="J223" s="123">
        <v>0.04806</v>
      </c>
      <c r="K223" s="123">
        <f>E223*J223</f>
        <v>99.34770959999999</v>
      </c>
      <c r="M223" s="124" t="s">
        <v>9</v>
      </c>
      <c r="N223" s="123">
        <f>IF(M223="5",H223,0)</f>
        <v>0</v>
      </c>
      <c r="Y223" s="123">
        <f>IF(AC223=0,I223,0)</f>
        <v>0</v>
      </c>
      <c r="Z223" s="123">
        <f>IF(AC223=14,I223,0)</f>
        <v>0</v>
      </c>
      <c r="AA223" s="123">
        <f>IF(AC223=20,I223,0)</f>
        <v>0</v>
      </c>
      <c r="AC223" s="125">
        <v>20</v>
      </c>
      <c r="AD223" s="125">
        <f>F223*0.181365717698586</f>
        <v>0</v>
      </c>
      <c r="AE223" s="125">
        <f>F223*(1-0.181365717698586)</f>
        <v>0</v>
      </c>
    </row>
    <row r="224" s="90" customFormat="1" ht="11.25">
      <c r="C224" s="126" t="s">
        <v>2350</v>
      </c>
    </row>
    <row r="225" spans="1:31" s="90" customFormat="1" ht="11.25">
      <c r="A225" s="122" t="s">
        <v>170</v>
      </c>
      <c r="B225" s="122" t="s">
        <v>1258</v>
      </c>
      <c r="C225" s="122" t="s">
        <v>2354</v>
      </c>
      <c r="D225" s="122" t="s">
        <v>3459</v>
      </c>
      <c r="E225" s="123">
        <v>235.51</v>
      </c>
      <c r="F225" s="123">
        <v>0</v>
      </c>
      <c r="G225" s="123">
        <f>ROUND(E225*AD225,2)</f>
        <v>0</v>
      </c>
      <c r="H225" s="123">
        <f>I225-G225</f>
        <v>0</v>
      </c>
      <c r="I225" s="123">
        <f>ROUND(E225*F225,2)</f>
        <v>0</v>
      </c>
      <c r="J225" s="123">
        <v>0.03371</v>
      </c>
      <c r="K225" s="123">
        <f>E225*J225</f>
        <v>7.939042099999999</v>
      </c>
      <c r="M225" s="124" t="s">
        <v>7</v>
      </c>
      <c r="N225" s="123">
        <f>IF(M225="5",H225,0)</f>
        <v>0</v>
      </c>
      <c r="Y225" s="123">
        <f>IF(AC225=0,I225,0)</f>
        <v>0</v>
      </c>
      <c r="Z225" s="123">
        <f>IF(AC225=14,I225,0)</f>
        <v>0</v>
      </c>
      <c r="AA225" s="123">
        <f>IF(AC225=20,I225,0)</f>
        <v>0</v>
      </c>
      <c r="AC225" s="125">
        <v>20</v>
      </c>
      <c r="AD225" s="125">
        <f>F225*0.281708211143695</f>
        <v>0</v>
      </c>
      <c r="AE225" s="125">
        <f>F225*(1-0.281708211143695)</f>
        <v>0</v>
      </c>
    </row>
    <row r="226" s="90" customFormat="1" ht="11.25">
      <c r="C226" s="126" t="s">
        <v>2220</v>
      </c>
    </row>
    <row r="227" spans="1:31" s="90" customFormat="1" ht="11.25">
      <c r="A227" s="122" t="s">
        <v>171</v>
      </c>
      <c r="B227" s="122" t="s">
        <v>1139</v>
      </c>
      <c r="C227" s="122" t="s">
        <v>2197</v>
      </c>
      <c r="D227" s="122" t="s">
        <v>3460</v>
      </c>
      <c r="E227" s="123">
        <v>184.32452</v>
      </c>
      <c r="F227" s="123">
        <v>0</v>
      </c>
      <c r="G227" s="123">
        <f>ROUND(E227*AD227,2)</f>
        <v>0</v>
      </c>
      <c r="H227" s="123">
        <f>I227-G227</f>
        <v>0</v>
      </c>
      <c r="I227" s="123">
        <f>ROUND(E227*F227,2)</f>
        <v>0</v>
      </c>
      <c r="J227" s="123">
        <v>0</v>
      </c>
      <c r="K227" s="123">
        <f>E227*J227</f>
        <v>0</v>
      </c>
      <c r="M227" s="124" t="s">
        <v>11</v>
      </c>
      <c r="N227" s="123">
        <f>IF(M227="5",H227,0)</f>
        <v>0</v>
      </c>
      <c r="Y227" s="123">
        <f>IF(AC227=0,I227,0)</f>
        <v>0</v>
      </c>
      <c r="Z227" s="123">
        <f>IF(AC227=14,I227,0)</f>
        <v>0</v>
      </c>
      <c r="AA227" s="123">
        <f>IF(AC227=20,I227,0)</f>
        <v>0</v>
      </c>
      <c r="AC227" s="125">
        <v>20</v>
      </c>
      <c r="AD227" s="125">
        <f>F227*0</f>
        <v>0</v>
      </c>
      <c r="AE227" s="125">
        <f>F227*(1-0)</f>
        <v>0</v>
      </c>
    </row>
    <row r="228" spans="1:36" s="90" customFormat="1" ht="11.25">
      <c r="A228" s="127"/>
      <c r="B228" s="128" t="s">
        <v>68</v>
      </c>
      <c r="C228" s="129" t="s">
        <v>2355</v>
      </c>
      <c r="D228" s="130"/>
      <c r="E228" s="130"/>
      <c r="F228" s="130"/>
      <c r="G228" s="121">
        <f>SUM(G229:G239)</f>
        <v>0</v>
      </c>
      <c r="H228" s="121">
        <f>SUM(H229:H239)</f>
        <v>0</v>
      </c>
      <c r="I228" s="121">
        <f>G228+H228</f>
        <v>0</v>
      </c>
      <c r="J228" s="114"/>
      <c r="K228" s="121">
        <f>SUM(K229:K239)</f>
        <v>56.62797810000001</v>
      </c>
      <c r="O228" s="121">
        <f>IF(P228="PR",I228,SUM(N229:N239))</f>
        <v>0</v>
      </c>
      <c r="P228" s="114" t="s">
        <v>3489</v>
      </c>
      <c r="Q228" s="121">
        <f>IF(P228="HS",G228,0)</f>
        <v>0</v>
      </c>
      <c r="R228" s="121">
        <f>IF(P228="HS",H228-O228,0)</f>
        <v>0</v>
      </c>
      <c r="S228" s="121">
        <f>IF(P228="PS",G228,0)</f>
        <v>0</v>
      </c>
      <c r="T228" s="121">
        <f>IF(P228="PS",H228-O228,0)</f>
        <v>0</v>
      </c>
      <c r="U228" s="121">
        <f>IF(P228="MP",G228,0)</f>
        <v>0</v>
      </c>
      <c r="V228" s="121">
        <f>IF(P228="MP",H228-O228,0)</f>
        <v>0</v>
      </c>
      <c r="W228" s="121">
        <f>IF(P228="OM",G228,0)</f>
        <v>0</v>
      </c>
      <c r="X228" s="114"/>
      <c r="AH228" s="121">
        <f>SUM(Y229:Y239)</f>
        <v>0</v>
      </c>
      <c r="AI228" s="121">
        <f>SUM(Z229:Z239)</f>
        <v>0</v>
      </c>
      <c r="AJ228" s="121">
        <f>SUM(AA229:AA239)</f>
        <v>0</v>
      </c>
    </row>
    <row r="229" spans="1:31" s="90" customFormat="1" ht="11.25">
      <c r="A229" s="122" t="s">
        <v>172</v>
      </c>
      <c r="B229" s="122" t="s">
        <v>1259</v>
      </c>
      <c r="C229" s="122" t="s">
        <v>2356</v>
      </c>
      <c r="D229" s="122" t="s">
        <v>3459</v>
      </c>
      <c r="E229" s="123">
        <v>215.71</v>
      </c>
      <c r="F229" s="123">
        <v>0</v>
      </c>
      <c r="G229" s="123">
        <f>ROUND(E229*AD229,2)</f>
        <v>0</v>
      </c>
      <c r="H229" s="123">
        <f>I229-G229</f>
        <v>0</v>
      </c>
      <c r="I229" s="123">
        <f>ROUND(E229*F229,2)</f>
        <v>0</v>
      </c>
      <c r="J229" s="123">
        <v>4E-05</v>
      </c>
      <c r="K229" s="123">
        <f>E229*J229</f>
        <v>0.008628400000000001</v>
      </c>
      <c r="M229" s="124" t="s">
        <v>7</v>
      </c>
      <c r="N229" s="123">
        <f>IF(M229="5",H229,0)</f>
        <v>0</v>
      </c>
      <c r="Y229" s="123">
        <f>IF(AC229=0,I229,0)</f>
        <v>0</v>
      </c>
      <c r="Z229" s="123">
        <f>IF(AC229=14,I229,0)</f>
        <v>0</v>
      </c>
      <c r="AA229" s="123">
        <f>IF(AC229=20,I229,0)</f>
        <v>0</v>
      </c>
      <c r="AC229" s="125">
        <v>20</v>
      </c>
      <c r="AD229" s="125">
        <f>F229*0.402035623409669</f>
        <v>0</v>
      </c>
      <c r="AE229" s="125">
        <f>F229*(1-0.402035623409669)</f>
        <v>0</v>
      </c>
    </row>
    <row r="230" spans="1:31" s="90" customFormat="1" ht="11.25">
      <c r="A230" s="122" t="s">
        <v>173</v>
      </c>
      <c r="B230" s="122" t="s">
        <v>1260</v>
      </c>
      <c r="C230" s="122" t="s">
        <v>2357</v>
      </c>
      <c r="D230" s="122" t="s">
        <v>3459</v>
      </c>
      <c r="E230" s="123">
        <v>121.14</v>
      </c>
      <c r="F230" s="123">
        <v>0</v>
      </c>
      <c r="G230" s="123">
        <f>ROUND(E230*AD230,2)</f>
        <v>0</v>
      </c>
      <c r="H230" s="123">
        <f>I230-G230</f>
        <v>0</v>
      </c>
      <c r="I230" s="123">
        <f>ROUND(E230*F230,2)</f>
        <v>0</v>
      </c>
      <c r="J230" s="123">
        <v>0.04874</v>
      </c>
      <c r="K230" s="123">
        <f>E230*J230</f>
        <v>5.9043636</v>
      </c>
      <c r="M230" s="124" t="s">
        <v>9</v>
      </c>
      <c r="N230" s="123">
        <f>IF(M230="5",H230,0)</f>
        <v>0</v>
      </c>
      <c r="Y230" s="123">
        <f>IF(AC230=0,I230,0)</f>
        <v>0</v>
      </c>
      <c r="Z230" s="123">
        <f>IF(AC230=14,I230,0)</f>
        <v>0</v>
      </c>
      <c r="AA230" s="123">
        <f>IF(AC230=20,I230,0)</f>
        <v>0</v>
      </c>
      <c r="AC230" s="125">
        <v>20</v>
      </c>
      <c r="AD230" s="125">
        <f>F230*0.528914247651101</f>
        <v>0</v>
      </c>
      <c r="AE230" s="125">
        <f>F230*(1-0.528914247651101)</f>
        <v>0</v>
      </c>
    </row>
    <row r="231" s="90" customFormat="1" ht="11.25">
      <c r="C231" s="126" t="s">
        <v>2358</v>
      </c>
    </row>
    <row r="232" spans="1:31" s="90" customFormat="1" ht="11.25">
      <c r="A232" s="122" t="s">
        <v>174</v>
      </c>
      <c r="B232" s="122" t="s">
        <v>1260</v>
      </c>
      <c r="C232" s="122" t="s">
        <v>2359</v>
      </c>
      <c r="D232" s="122" t="s">
        <v>3459</v>
      </c>
      <c r="E232" s="123">
        <v>776.47</v>
      </c>
      <c r="F232" s="123">
        <v>0</v>
      </c>
      <c r="G232" s="123">
        <f>ROUND(E232*AD232,2)</f>
        <v>0</v>
      </c>
      <c r="H232" s="123">
        <f>I232-G232</f>
        <v>0</v>
      </c>
      <c r="I232" s="123">
        <f>ROUND(E232*F232,2)</f>
        <v>0</v>
      </c>
      <c r="J232" s="123">
        <v>0.04874</v>
      </c>
      <c r="K232" s="123">
        <f>E232*J232</f>
        <v>37.8451478</v>
      </c>
      <c r="M232" s="124" t="s">
        <v>9</v>
      </c>
      <c r="N232" s="123">
        <f>IF(M232="5",H232,0)</f>
        <v>0</v>
      </c>
      <c r="Y232" s="123">
        <f>IF(AC232=0,I232,0)</f>
        <v>0</v>
      </c>
      <c r="Z232" s="123">
        <f>IF(AC232=14,I232,0)</f>
        <v>0</v>
      </c>
      <c r="AA232" s="123">
        <f>IF(AC232=20,I232,0)</f>
        <v>0</v>
      </c>
      <c r="AC232" s="125">
        <v>20</v>
      </c>
      <c r="AD232" s="125">
        <f>F232*0.528913386440216</f>
        <v>0</v>
      </c>
      <c r="AE232" s="125">
        <f>F232*(1-0.528913386440216)</f>
        <v>0</v>
      </c>
    </row>
    <row r="233" s="90" customFormat="1" ht="11.25">
      <c r="C233" s="126" t="s">
        <v>2360</v>
      </c>
    </row>
    <row r="234" spans="1:31" s="90" customFormat="1" ht="11.25">
      <c r="A234" s="122" t="s">
        <v>175</v>
      </c>
      <c r="B234" s="122" t="s">
        <v>1261</v>
      </c>
      <c r="C234" s="122" t="s">
        <v>2361</v>
      </c>
      <c r="D234" s="122" t="s">
        <v>3459</v>
      </c>
      <c r="E234" s="123">
        <v>234.3</v>
      </c>
      <c r="F234" s="123">
        <v>0</v>
      </c>
      <c r="G234" s="123">
        <f>ROUND(E234*AD234,2)</f>
        <v>0</v>
      </c>
      <c r="H234" s="123">
        <f>I234-G234</f>
        <v>0</v>
      </c>
      <c r="I234" s="123">
        <f>ROUND(E234*F234,2)</f>
        <v>0</v>
      </c>
      <c r="J234" s="123">
        <v>0.05109</v>
      </c>
      <c r="K234" s="123">
        <f>E234*J234</f>
        <v>11.970387</v>
      </c>
      <c r="M234" s="124" t="s">
        <v>9</v>
      </c>
      <c r="N234" s="123">
        <f>IF(M234="5",H234,0)</f>
        <v>0</v>
      </c>
      <c r="Y234" s="123">
        <f>IF(AC234=0,I234,0)</f>
        <v>0</v>
      </c>
      <c r="Z234" s="123">
        <f>IF(AC234=14,I234,0)</f>
        <v>0</v>
      </c>
      <c r="AA234" s="123">
        <f>IF(AC234=20,I234,0)</f>
        <v>0</v>
      </c>
      <c r="AC234" s="125">
        <v>20</v>
      </c>
      <c r="AD234" s="125">
        <f>F234*0.549597967269019</f>
        <v>0</v>
      </c>
      <c r="AE234" s="125">
        <f>F234*(1-0.549597967269019)</f>
        <v>0</v>
      </c>
    </row>
    <row r="235" s="90" customFormat="1" ht="11.25">
      <c r="C235" s="126" t="s">
        <v>2362</v>
      </c>
    </row>
    <row r="236" spans="1:31" s="90" customFormat="1" ht="11.25">
      <c r="A236" s="122" t="s">
        <v>176</v>
      </c>
      <c r="B236" s="122" t="s">
        <v>1262</v>
      </c>
      <c r="C236" s="122" t="s">
        <v>2363</v>
      </c>
      <c r="D236" s="122" t="s">
        <v>3459</v>
      </c>
      <c r="E236" s="123">
        <v>11.49</v>
      </c>
      <c r="F236" s="123">
        <v>0</v>
      </c>
      <c r="G236" s="123">
        <f>ROUND(E236*AD236,2)</f>
        <v>0</v>
      </c>
      <c r="H236" s="123">
        <f>I236-G236</f>
        <v>0</v>
      </c>
      <c r="I236" s="123">
        <f>ROUND(E236*F236,2)</f>
        <v>0</v>
      </c>
      <c r="J236" s="123">
        <v>0.05809</v>
      </c>
      <c r="K236" s="123">
        <f>E236*J236</f>
        <v>0.6674541</v>
      </c>
      <c r="M236" s="124" t="s">
        <v>9</v>
      </c>
      <c r="N236" s="123">
        <f>IF(M236="5",H236,0)</f>
        <v>0</v>
      </c>
      <c r="Y236" s="123">
        <f>IF(AC236=0,I236,0)</f>
        <v>0</v>
      </c>
      <c r="Z236" s="123">
        <f>IF(AC236=14,I236,0)</f>
        <v>0</v>
      </c>
      <c r="AA236" s="123">
        <f>IF(AC236=20,I236,0)</f>
        <v>0</v>
      </c>
      <c r="AC236" s="125">
        <v>20</v>
      </c>
      <c r="AD236" s="125">
        <f>F236*0.619219926789246</f>
        <v>0</v>
      </c>
      <c r="AE236" s="125">
        <f>F236*(1-0.619219926789246)</f>
        <v>0</v>
      </c>
    </row>
    <row r="237" s="90" customFormat="1" ht="22.5">
      <c r="C237" s="126" t="s">
        <v>2364</v>
      </c>
    </row>
    <row r="238" spans="1:31" s="90" customFormat="1" ht="11.25">
      <c r="A238" s="122" t="s">
        <v>177</v>
      </c>
      <c r="B238" s="122" t="s">
        <v>1263</v>
      </c>
      <c r="C238" s="122" t="s">
        <v>2365</v>
      </c>
      <c r="D238" s="122" t="s">
        <v>3459</v>
      </c>
      <c r="E238" s="123">
        <v>37.54</v>
      </c>
      <c r="F238" s="123">
        <v>0</v>
      </c>
      <c r="G238" s="123">
        <f>ROUND(E238*AD238,2)</f>
        <v>0</v>
      </c>
      <c r="H238" s="123">
        <f>I238-G238</f>
        <v>0</v>
      </c>
      <c r="I238" s="123">
        <f>ROUND(E238*F238,2)</f>
        <v>0</v>
      </c>
      <c r="J238" s="123">
        <v>0.00618</v>
      </c>
      <c r="K238" s="123">
        <f>E238*J238</f>
        <v>0.2319972</v>
      </c>
      <c r="M238" s="124" t="s">
        <v>7</v>
      </c>
      <c r="N238" s="123">
        <f>IF(M238="5",H238,0)</f>
        <v>0</v>
      </c>
      <c r="Y238" s="123">
        <f>IF(AC238=0,I238,0)</f>
        <v>0</v>
      </c>
      <c r="Z238" s="123">
        <f>IF(AC238=14,I238,0)</f>
        <v>0</v>
      </c>
      <c r="AA238" s="123">
        <f>IF(AC238=20,I238,0)</f>
        <v>0</v>
      </c>
      <c r="AC238" s="125">
        <v>20</v>
      </c>
      <c r="AD238" s="125">
        <f>F238*0.694269353693182</f>
        <v>0</v>
      </c>
      <c r="AE238" s="125">
        <f>F238*(1-0.694269353693182)</f>
        <v>0</v>
      </c>
    </row>
    <row r="239" spans="1:31" s="90" customFormat="1" ht="11.25">
      <c r="A239" s="122" t="s">
        <v>178</v>
      </c>
      <c r="B239" s="122" t="s">
        <v>1139</v>
      </c>
      <c r="C239" s="122" t="s">
        <v>2197</v>
      </c>
      <c r="D239" s="122" t="s">
        <v>3460</v>
      </c>
      <c r="E239" s="123">
        <v>56.62798</v>
      </c>
      <c r="F239" s="123">
        <v>0</v>
      </c>
      <c r="G239" s="123">
        <f>ROUND(E239*AD239,2)</f>
        <v>0</v>
      </c>
      <c r="H239" s="123">
        <f>I239-G239</f>
        <v>0</v>
      </c>
      <c r="I239" s="123">
        <f>ROUND(E239*F239,2)</f>
        <v>0</v>
      </c>
      <c r="J239" s="123">
        <v>0</v>
      </c>
      <c r="K239" s="123">
        <f>E239*J239</f>
        <v>0</v>
      </c>
      <c r="M239" s="124" t="s">
        <v>11</v>
      </c>
      <c r="N239" s="123">
        <f>IF(M239="5",H239,0)</f>
        <v>0</v>
      </c>
      <c r="Y239" s="123">
        <f>IF(AC239=0,I239,0)</f>
        <v>0</v>
      </c>
      <c r="Z239" s="123">
        <f>IF(AC239=14,I239,0)</f>
        <v>0</v>
      </c>
      <c r="AA239" s="123">
        <f>IF(AC239=20,I239,0)</f>
        <v>0</v>
      </c>
      <c r="AC239" s="125">
        <v>20</v>
      </c>
      <c r="AD239" s="125">
        <f>F239*0</f>
        <v>0</v>
      </c>
      <c r="AE239" s="125">
        <f>F239*(1-0)</f>
        <v>0</v>
      </c>
    </row>
    <row r="240" spans="1:36" s="90" customFormat="1" ht="11.25">
      <c r="A240" s="127"/>
      <c r="B240" s="128" t="s">
        <v>69</v>
      </c>
      <c r="C240" s="129" t="s">
        <v>2366</v>
      </c>
      <c r="D240" s="130"/>
      <c r="E240" s="130"/>
      <c r="F240" s="130"/>
      <c r="G240" s="121">
        <f>SUM(G241:G254)</f>
        <v>0</v>
      </c>
      <c r="H240" s="121">
        <f>SUM(H241:H254)</f>
        <v>0</v>
      </c>
      <c r="I240" s="121">
        <f>G240+H240</f>
        <v>0</v>
      </c>
      <c r="J240" s="114"/>
      <c r="K240" s="121">
        <f>SUM(K241:K254)</f>
        <v>421.2990574</v>
      </c>
      <c r="O240" s="121">
        <f>IF(P240="PR",I240,SUM(N241:N254))</f>
        <v>0</v>
      </c>
      <c r="P240" s="114" t="s">
        <v>3489</v>
      </c>
      <c r="Q240" s="121">
        <f>IF(P240="HS",G240,0)</f>
        <v>0</v>
      </c>
      <c r="R240" s="121">
        <f>IF(P240="HS",H240-O240,0)</f>
        <v>0</v>
      </c>
      <c r="S240" s="121">
        <f>IF(P240="PS",G240,0)</f>
        <v>0</v>
      </c>
      <c r="T240" s="121">
        <f>IF(P240="PS",H240-O240,0)</f>
        <v>0</v>
      </c>
      <c r="U240" s="121">
        <f>IF(P240="MP",G240,0)</f>
        <v>0</v>
      </c>
      <c r="V240" s="121">
        <f>IF(P240="MP",H240-O240,0)</f>
        <v>0</v>
      </c>
      <c r="W240" s="121">
        <f>IF(P240="OM",G240,0)</f>
        <v>0</v>
      </c>
      <c r="X240" s="114"/>
      <c r="AH240" s="121">
        <f>SUM(Y241:Y254)</f>
        <v>0</v>
      </c>
      <c r="AI240" s="121">
        <f>SUM(Z241:Z254)</f>
        <v>0</v>
      </c>
      <c r="AJ240" s="121">
        <f>SUM(AA241:AA254)</f>
        <v>0</v>
      </c>
    </row>
    <row r="241" spans="1:31" s="90" customFormat="1" ht="11.25">
      <c r="A241" s="122" t="s">
        <v>179</v>
      </c>
      <c r="B241" s="122" t="s">
        <v>1264</v>
      </c>
      <c r="C241" s="122" t="s">
        <v>2367</v>
      </c>
      <c r="D241" s="122" t="s">
        <v>3459</v>
      </c>
      <c r="E241" s="123">
        <v>93.68</v>
      </c>
      <c r="F241" s="123">
        <v>0</v>
      </c>
      <c r="G241" s="123">
        <f>ROUND(E241*AD241,2)</f>
        <v>0</v>
      </c>
      <c r="H241" s="123">
        <f>I241-G241</f>
        <v>0</v>
      </c>
      <c r="I241" s="123">
        <f>ROUND(E241*F241,2)</f>
        <v>0</v>
      </c>
      <c r="J241" s="123">
        <v>0.3633</v>
      </c>
      <c r="K241" s="123">
        <f>E241*J241</f>
        <v>34.033944000000005</v>
      </c>
      <c r="M241" s="124" t="s">
        <v>9</v>
      </c>
      <c r="N241" s="123">
        <f>IF(M241="5",H241,0)</f>
        <v>0</v>
      </c>
      <c r="Y241" s="123">
        <f>IF(AC241=0,I241,0)</f>
        <v>0</v>
      </c>
      <c r="Z241" s="123">
        <f>IF(AC241=14,I241,0)</f>
        <v>0</v>
      </c>
      <c r="AA241" s="123">
        <f>IF(AC241=20,I241,0)</f>
        <v>0</v>
      </c>
      <c r="AC241" s="125">
        <v>20</v>
      </c>
      <c r="AD241" s="125">
        <f>F241*0.707065071855753</f>
        <v>0</v>
      </c>
      <c r="AE241" s="125">
        <f>F241*(1-0.707065071855753)</f>
        <v>0</v>
      </c>
    </row>
    <row r="242" spans="1:31" s="90" customFormat="1" ht="11.25">
      <c r="A242" s="122" t="s">
        <v>180</v>
      </c>
      <c r="B242" s="122" t="s">
        <v>1265</v>
      </c>
      <c r="C242" s="122" t="s">
        <v>2368</v>
      </c>
      <c r="D242" s="122" t="s">
        <v>3459</v>
      </c>
      <c r="E242" s="123">
        <v>84.1</v>
      </c>
      <c r="F242" s="123">
        <v>0</v>
      </c>
      <c r="G242" s="123">
        <f>ROUND(E242*AD242,2)</f>
        <v>0</v>
      </c>
      <c r="H242" s="123">
        <f>I242-G242</f>
        <v>0</v>
      </c>
      <c r="I242" s="123">
        <f>ROUND(E242*F242,2)</f>
        <v>0</v>
      </c>
      <c r="J242" s="123">
        <v>0.19933</v>
      </c>
      <c r="K242" s="123">
        <f>E242*J242</f>
        <v>16.763652999999998</v>
      </c>
      <c r="M242" s="124" t="s">
        <v>9</v>
      </c>
      <c r="N242" s="123">
        <f>IF(M242="5",H242,0)</f>
        <v>0</v>
      </c>
      <c r="Y242" s="123">
        <f>IF(AC242=0,I242,0)</f>
        <v>0</v>
      </c>
      <c r="Z242" s="123">
        <f>IF(AC242=14,I242,0)</f>
        <v>0</v>
      </c>
      <c r="AA242" s="123">
        <f>IF(AC242=20,I242,0)</f>
        <v>0</v>
      </c>
      <c r="AC242" s="125">
        <v>20</v>
      </c>
      <c r="AD242" s="125">
        <f>F242*0.630504937762357</f>
        <v>0</v>
      </c>
      <c r="AE242" s="125">
        <f>F242*(1-0.630504937762357)</f>
        <v>0</v>
      </c>
    </row>
    <row r="243" spans="1:31" s="90" customFormat="1" ht="11.25">
      <c r="A243" s="122" t="s">
        <v>181</v>
      </c>
      <c r="B243" s="122" t="s">
        <v>1266</v>
      </c>
      <c r="C243" s="122" t="s">
        <v>2369</v>
      </c>
      <c r="D243" s="122" t="s">
        <v>3458</v>
      </c>
      <c r="E243" s="123">
        <v>32.28</v>
      </c>
      <c r="F243" s="123">
        <v>0</v>
      </c>
      <c r="G243" s="123">
        <f>ROUND(E243*AD243,2)</f>
        <v>0</v>
      </c>
      <c r="H243" s="123">
        <f>I243-G243</f>
        <v>0</v>
      </c>
      <c r="I243" s="123">
        <f>ROUND(E243*F243,2)</f>
        <v>0</v>
      </c>
      <c r="J243" s="123">
        <v>2.45329</v>
      </c>
      <c r="K243" s="123">
        <f>E243*J243</f>
        <v>79.1922012</v>
      </c>
      <c r="M243" s="124" t="s">
        <v>7</v>
      </c>
      <c r="N243" s="123">
        <f>IF(M243="5",H243,0)</f>
        <v>0</v>
      </c>
      <c r="Y243" s="123">
        <f>IF(AC243=0,I243,0)</f>
        <v>0</v>
      </c>
      <c r="Z243" s="123">
        <f>IF(AC243=14,I243,0)</f>
        <v>0</v>
      </c>
      <c r="AA243" s="123">
        <f>IF(AC243=20,I243,0)</f>
        <v>0</v>
      </c>
      <c r="AC243" s="125">
        <v>20</v>
      </c>
      <c r="AD243" s="125">
        <f>F243*0.772891049470975</f>
        <v>0</v>
      </c>
      <c r="AE243" s="125">
        <f>F243*(1-0.772891049470975)</f>
        <v>0</v>
      </c>
    </row>
    <row r="244" spans="1:31" s="90" customFormat="1" ht="11.25">
      <c r="A244" s="122" t="s">
        <v>182</v>
      </c>
      <c r="B244" s="122" t="s">
        <v>1267</v>
      </c>
      <c r="C244" s="122" t="s">
        <v>2370</v>
      </c>
      <c r="D244" s="122" t="s">
        <v>3458</v>
      </c>
      <c r="E244" s="123">
        <v>66.53</v>
      </c>
      <c r="F244" s="123">
        <v>0</v>
      </c>
      <c r="G244" s="123">
        <f>ROUND(E244*AD244,2)</f>
        <v>0</v>
      </c>
      <c r="H244" s="123">
        <f>I244-G244</f>
        <v>0</v>
      </c>
      <c r="I244" s="123">
        <f>ROUND(E244*F244,2)</f>
        <v>0</v>
      </c>
      <c r="J244" s="123">
        <v>2.45329</v>
      </c>
      <c r="K244" s="123">
        <f>E244*J244</f>
        <v>163.2173837</v>
      </c>
      <c r="M244" s="124" t="s">
        <v>7</v>
      </c>
      <c r="N244" s="123">
        <f>IF(M244="5",H244,0)</f>
        <v>0</v>
      </c>
      <c r="Y244" s="123">
        <f>IF(AC244=0,I244,0)</f>
        <v>0</v>
      </c>
      <c r="Z244" s="123">
        <f>IF(AC244=14,I244,0)</f>
        <v>0</v>
      </c>
      <c r="AA244" s="123">
        <f>IF(AC244=20,I244,0)</f>
        <v>0</v>
      </c>
      <c r="AC244" s="125">
        <v>20</v>
      </c>
      <c r="AD244" s="125">
        <f>F244*0.826635980288335</f>
        <v>0</v>
      </c>
      <c r="AE244" s="125">
        <f>F244*(1-0.826635980288335)</f>
        <v>0</v>
      </c>
    </row>
    <row r="245" spans="1:31" s="90" customFormat="1" ht="11.25">
      <c r="A245" s="122" t="s">
        <v>183</v>
      </c>
      <c r="B245" s="122" t="s">
        <v>1268</v>
      </c>
      <c r="C245" s="122" t="s">
        <v>2371</v>
      </c>
      <c r="D245" s="122" t="s">
        <v>3459</v>
      </c>
      <c r="E245" s="123">
        <v>387.1</v>
      </c>
      <c r="F245" s="123">
        <v>0</v>
      </c>
      <c r="G245" s="123">
        <f>ROUND(E245*AD245,2)</f>
        <v>0</v>
      </c>
      <c r="H245" s="123">
        <f>I245-G245</f>
        <v>0</v>
      </c>
      <c r="I245" s="123">
        <f>ROUND(E245*F245,2)</f>
        <v>0</v>
      </c>
      <c r="J245" s="123">
        <v>0.005</v>
      </c>
      <c r="K245" s="123">
        <f>E245*J245</f>
        <v>1.9355000000000002</v>
      </c>
      <c r="M245" s="124" t="s">
        <v>7</v>
      </c>
      <c r="N245" s="123">
        <f>IF(M245="5",H245,0)</f>
        <v>0</v>
      </c>
      <c r="Y245" s="123">
        <f>IF(AC245=0,I245,0)</f>
        <v>0</v>
      </c>
      <c r="Z245" s="123">
        <f>IF(AC245=14,I245,0)</f>
        <v>0</v>
      </c>
      <c r="AA245" s="123">
        <f>IF(AC245=20,I245,0)</f>
        <v>0</v>
      </c>
      <c r="AC245" s="125">
        <v>20</v>
      </c>
      <c r="AD245" s="125">
        <f>F245*0.48348492101484</f>
        <v>0</v>
      </c>
      <c r="AE245" s="125">
        <f>F245*(1-0.48348492101484)</f>
        <v>0</v>
      </c>
    </row>
    <row r="246" s="90" customFormat="1" ht="11.25">
      <c r="C246" s="126" t="s">
        <v>2372</v>
      </c>
    </row>
    <row r="247" spans="1:31" s="90" customFormat="1" ht="11.25">
      <c r="A247" s="122" t="s">
        <v>184</v>
      </c>
      <c r="B247" s="122" t="s">
        <v>1269</v>
      </c>
      <c r="C247" s="122" t="s">
        <v>2373</v>
      </c>
      <c r="D247" s="122" t="s">
        <v>3460</v>
      </c>
      <c r="E247" s="123">
        <v>0.31</v>
      </c>
      <c r="F247" s="123">
        <v>0</v>
      </c>
      <c r="G247" s="123">
        <f>ROUND(E247*AD247,2)</f>
        <v>0</v>
      </c>
      <c r="H247" s="123">
        <f>I247-G247</f>
        <v>0</v>
      </c>
      <c r="I247" s="123">
        <f>ROUND(E247*F247,2)</f>
        <v>0</v>
      </c>
      <c r="J247" s="123">
        <v>1.06625</v>
      </c>
      <c r="K247" s="123">
        <f>E247*J247</f>
        <v>0.3305375</v>
      </c>
      <c r="M247" s="124" t="s">
        <v>7</v>
      </c>
      <c r="N247" s="123">
        <f>IF(M247="5",H247,0)</f>
        <v>0</v>
      </c>
      <c r="Y247" s="123">
        <f>IF(AC247=0,I247,0)</f>
        <v>0</v>
      </c>
      <c r="Z247" s="123">
        <f>IF(AC247=14,I247,0)</f>
        <v>0</v>
      </c>
      <c r="AA247" s="123">
        <f>IF(AC247=20,I247,0)</f>
        <v>0</v>
      </c>
      <c r="AC247" s="125">
        <v>20</v>
      </c>
      <c r="AD247" s="125">
        <f>F247*0.858405617609313</f>
        <v>0</v>
      </c>
      <c r="AE247" s="125">
        <f>F247*(1-0.858405617609313)</f>
        <v>0</v>
      </c>
    </row>
    <row r="248" s="90" customFormat="1" ht="11.25">
      <c r="C248" s="126" t="s">
        <v>2374</v>
      </c>
    </row>
    <row r="249" spans="1:31" s="90" customFormat="1" ht="11.25">
      <c r="A249" s="122" t="s">
        <v>185</v>
      </c>
      <c r="B249" s="122" t="s">
        <v>1270</v>
      </c>
      <c r="C249" s="122" t="s">
        <v>2373</v>
      </c>
      <c r="D249" s="122" t="s">
        <v>3460</v>
      </c>
      <c r="E249" s="123">
        <v>9.58</v>
      </c>
      <c r="F249" s="123">
        <v>0</v>
      </c>
      <c r="G249" s="123">
        <f>ROUND(E249*AD249,2)</f>
        <v>0</v>
      </c>
      <c r="H249" s="123">
        <f>I249-G249</f>
        <v>0</v>
      </c>
      <c r="I249" s="123">
        <f>ROUND(E249*F249,2)</f>
        <v>0</v>
      </c>
      <c r="J249" s="123">
        <v>1.06625</v>
      </c>
      <c r="K249" s="123">
        <f>E249*J249</f>
        <v>10.214675</v>
      </c>
      <c r="M249" s="124" t="s">
        <v>7</v>
      </c>
      <c r="N249" s="123">
        <f>IF(M249="5",H249,0)</f>
        <v>0</v>
      </c>
      <c r="Y249" s="123">
        <f>IF(AC249=0,I249,0)</f>
        <v>0</v>
      </c>
      <c r="Z249" s="123">
        <f>IF(AC249=14,I249,0)</f>
        <v>0</v>
      </c>
      <c r="AA249" s="123">
        <f>IF(AC249=20,I249,0)</f>
        <v>0</v>
      </c>
      <c r="AC249" s="125">
        <v>20</v>
      </c>
      <c r="AD249" s="125">
        <f>F249*0.857562761428922</f>
        <v>0</v>
      </c>
      <c r="AE249" s="125">
        <f>F249*(1-0.857562761428922)</f>
        <v>0</v>
      </c>
    </row>
    <row r="250" s="90" customFormat="1" ht="11.25">
      <c r="C250" s="126" t="s">
        <v>2375</v>
      </c>
    </row>
    <row r="251" spans="1:31" s="90" customFormat="1" ht="11.25">
      <c r="A251" s="122" t="s">
        <v>186</v>
      </c>
      <c r="B251" s="122" t="s">
        <v>1271</v>
      </c>
      <c r="C251" s="122" t="s">
        <v>2376</v>
      </c>
      <c r="D251" s="122" t="s">
        <v>3458</v>
      </c>
      <c r="E251" s="123">
        <v>11.77</v>
      </c>
      <c r="F251" s="123">
        <v>0</v>
      </c>
      <c r="G251" s="123">
        <f>ROUND(E251*AD251,2)</f>
        <v>0</v>
      </c>
      <c r="H251" s="123">
        <f>I251-G251</f>
        <v>0</v>
      </c>
      <c r="I251" s="123">
        <f>ROUND(E251*F251,2)</f>
        <v>0</v>
      </c>
      <c r="J251" s="123">
        <v>1.837</v>
      </c>
      <c r="K251" s="123">
        <f>E251*J251</f>
        <v>21.621489999999998</v>
      </c>
      <c r="M251" s="124" t="s">
        <v>7</v>
      </c>
      <c r="N251" s="123">
        <f>IF(M251="5",H251,0)</f>
        <v>0</v>
      </c>
      <c r="Y251" s="123">
        <f>IF(AC251=0,I251,0)</f>
        <v>0</v>
      </c>
      <c r="Z251" s="123">
        <f>IF(AC251=14,I251,0)</f>
        <v>0</v>
      </c>
      <c r="AA251" s="123">
        <f>IF(AC251=20,I251,0)</f>
        <v>0</v>
      </c>
      <c r="AC251" s="125">
        <v>20</v>
      </c>
      <c r="AD251" s="125">
        <f>F251*0.564703703703704</f>
        <v>0</v>
      </c>
      <c r="AE251" s="125">
        <f>F251*(1-0.564703703703704)</f>
        <v>0</v>
      </c>
    </row>
    <row r="252" spans="1:31" s="90" customFormat="1" ht="11.25">
      <c r="A252" s="122" t="s">
        <v>187</v>
      </c>
      <c r="B252" s="122" t="s">
        <v>1272</v>
      </c>
      <c r="C252" s="122" t="s">
        <v>2377</v>
      </c>
      <c r="D252" s="122" t="s">
        <v>3458</v>
      </c>
      <c r="E252" s="123">
        <v>43.02</v>
      </c>
      <c r="F252" s="123">
        <v>0</v>
      </c>
      <c r="G252" s="123">
        <f>ROUND(E252*AD252,2)</f>
        <v>0</v>
      </c>
      <c r="H252" s="123">
        <f>I252-G252</f>
        <v>0</v>
      </c>
      <c r="I252" s="123">
        <f>ROUND(E252*F252,2)</f>
        <v>0</v>
      </c>
      <c r="J252" s="123">
        <v>1.837</v>
      </c>
      <c r="K252" s="123">
        <f>E252*J252</f>
        <v>79.02774000000001</v>
      </c>
      <c r="M252" s="124" t="s">
        <v>7</v>
      </c>
      <c r="N252" s="123">
        <f>IF(M252="5",H252,0)</f>
        <v>0</v>
      </c>
      <c r="Y252" s="123">
        <f>IF(AC252=0,I252,0)</f>
        <v>0</v>
      </c>
      <c r="Z252" s="123">
        <f>IF(AC252=14,I252,0)</f>
        <v>0</v>
      </c>
      <c r="AA252" s="123">
        <f>IF(AC252=20,I252,0)</f>
        <v>0</v>
      </c>
      <c r="AC252" s="125">
        <v>20</v>
      </c>
      <c r="AD252" s="125">
        <f>F252*0.539314832235811</f>
        <v>0</v>
      </c>
      <c r="AE252" s="125">
        <f>F252*(1-0.539314832235811)</f>
        <v>0</v>
      </c>
    </row>
    <row r="253" spans="1:31" s="90" customFormat="1" ht="11.25">
      <c r="A253" s="122" t="s">
        <v>188</v>
      </c>
      <c r="B253" s="122" t="s">
        <v>1273</v>
      </c>
      <c r="C253" s="122" t="s">
        <v>2378</v>
      </c>
      <c r="D253" s="122" t="s">
        <v>3459</v>
      </c>
      <c r="E253" s="123">
        <v>148.05</v>
      </c>
      <c r="F253" s="123">
        <v>0</v>
      </c>
      <c r="G253" s="123">
        <f>ROUND(E253*AD253,2)</f>
        <v>0</v>
      </c>
      <c r="H253" s="123">
        <f>I253-G253</f>
        <v>0</v>
      </c>
      <c r="I253" s="123">
        <f>ROUND(E253*F253,2)</f>
        <v>0</v>
      </c>
      <c r="J253" s="123">
        <v>0.10106</v>
      </c>
      <c r="K253" s="123">
        <f>E253*J253</f>
        <v>14.961933</v>
      </c>
      <c r="M253" s="124" t="s">
        <v>7</v>
      </c>
      <c r="N253" s="123">
        <f>IF(M253="5",H253,0)</f>
        <v>0</v>
      </c>
      <c r="Y253" s="123">
        <f>IF(AC253=0,I253,0)</f>
        <v>0</v>
      </c>
      <c r="Z253" s="123">
        <f>IF(AC253=14,I253,0)</f>
        <v>0</v>
      </c>
      <c r="AA253" s="123">
        <f>IF(AC253=20,I253,0)</f>
        <v>0</v>
      </c>
      <c r="AC253" s="125">
        <v>20</v>
      </c>
      <c r="AD253" s="125">
        <f>F253*0.693983673706533</f>
        <v>0</v>
      </c>
      <c r="AE253" s="125">
        <f>F253*(1-0.693983673706533)</f>
        <v>0</v>
      </c>
    </row>
    <row r="254" spans="1:31" s="90" customFormat="1" ht="11.25">
      <c r="A254" s="122" t="s">
        <v>189</v>
      </c>
      <c r="B254" s="122" t="s">
        <v>1139</v>
      </c>
      <c r="C254" s="122" t="s">
        <v>2197</v>
      </c>
      <c r="D254" s="122" t="s">
        <v>3460</v>
      </c>
      <c r="E254" s="123">
        <v>421.29906</v>
      </c>
      <c r="F254" s="123">
        <v>0</v>
      </c>
      <c r="G254" s="123">
        <f>ROUND(E254*AD254,2)</f>
        <v>0</v>
      </c>
      <c r="H254" s="123">
        <f>I254-G254</f>
        <v>0</v>
      </c>
      <c r="I254" s="123">
        <f>ROUND(E254*F254,2)</f>
        <v>0</v>
      </c>
      <c r="J254" s="123">
        <v>0</v>
      </c>
      <c r="K254" s="123">
        <f>E254*J254</f>
        <v>0</v>
      </c>
      <c r="M254" s="124" t="s">
        <v>11</v>
      </c>
      <c r="N254" s="123">
        <f>IF(M254="5",H254,0)</f>
        <v>0</v>
      </c>
      <c r="Y254" s="123">
        <f>IF(AC254=0,I254,0)</f>
        <v>0</v>
      </c>
      <c r="Z254" s="123">
        <f>IF(AC254=14,I254,0)</f>
        <v>0</v>
      </c>
      <c r="AA254" s="123">
        <f>IF(AC254=20,I254,0)</f>
        <v>0</v>
      </c>
      <c r="AC254" s="125">
        <v>20</v>
      </c>
      <c r="AD254" s="125">
        <f>F254*0</f>
        <v>0</v>
      </c>
      <c r="AE254" s="125">
        <f>F254*(1-0)</f>
        <v>0</v>
      </c>
    </row>
    <row r="255" spans="1:36" s="90" customFormat="1" ht="11.25">
      <c r="A255" s="127"/>
      <c r="B255" s="128" t="s">
        <v>70</v>
      </c>
      <c r="C255" s="129" t="s">
        <v>2379</v>
      </c>
      <c r="D255" s="130"/>
      <c r="E255" s="130"/>
      <c r="F255" s="130"/>
      <c r="G255" s="121">
        <f>SUM(G256:G272)</f>
        <v>0</v>
      </c>
      <c r="H255" s="121">
        <f>SUM(H256:H272)</f>
        <v>0</v>
      </c>
      <c r="I255" s="121">
        <f>G255+H255</f>
        <v>0</v>
      </c>
      <c r="J255" s="114"/>
      <c r="K255" s="121">
        <f>SUM(K256:K272)</f>
        <v>7.6003300000000005</v>
      </c>
      <c r="O255" s="121">
        <f>IF(P255="PR",I255,SUM(N256:N272))</f>
        <v>0</v>
      </c>
      <c r="P255" s="114" t="s">
        <v>3489</v>
      </c>
      <c r="Q255" s="121">
        <f>IF(P255="HS",G255,0)</f>
        <v>0</v>
      </c>
      <c r="R255" s="121">
        <f>IF(P255="HS",H255-O255,0)</f>
        <v>0</v>
      </c>
      <c r="S255" s="121">
        <f>IF(P255="PS",G255,0)</f>
        <v>0</v>
      </c>
      <c r="T255" s="121">
        <f>IF(P255="PS",H255-O255,0)</f>
        <v>0</v>
      </c>
      <c r="U255" s="121">
        <f>IF(P255="MP",G255,0)</f>
        <v>0</v>
      </c>
      <c r="V255" s="121">
        <f>IF(P255="MP",H255-O255,0)</f>
        <v>0</v>
      </c>
      <c r="W255" s="121">
        <f>IF(P255="OM",G255,0)</f>
        <v>0</v>
      </c>
      <c r="X255" s="114"/>
      <c r="AH255" s="121">
        <f>SUM(Y256:Y272)</f>
        <v>0</v>
      </c>
      <c r="AI255" s="121">
        <f>SUM(Z256:Z272)</f>
        <v>0</v>
      </c>
      <c r="AJ255" s="121">
        <f>SUM(AA256:AA272)</f>
        <v>0</v>
      </c>
    </row>
    <row r="256" spans="1:31" s="90" customFormat="1" ht="11.25">
      <c r="A256" s="122" t="s">
        <v>190</v>
      </c>
      <c r="B256" s="122" t="s">
        <v>1274</v>
      </c>
      <c r="C256" s="122" t="s">
        <v>2380</v>
      </c>
      <c r="D256" s="122" t="s">
        <v>3456</v>
      </c>
      <c r="E256" s="123">
        <v>14</v>
      </c>
      <c r="F256" s="123">
        <v>0</v>
      </c>
      <c r="G256" s="123">
        <f>ROUND(E256*AD256,2)</f>
        <v>0</v>
      </c>
      <c r="H256" s="123">
        <f>I256-G256</f>
        <v>0</v>
      </c>
      <c r="I256" s="123">
        <f>ROUND(E256*F256,2)</f>
        <v>0</v>
      </c>
      <c r="J256" s="123">
        <v>0.16045</v>
      </c>
      <c r="K256" s="123">
        <f>E256*J256</f>
        <v>2.2463</v>
      </c>
      <c r="M256" s="124" t="s">
        <v>9</v>
      </c>
      <c r="N256" s="123">
        <f>IF(M256="5",H256,0)</f>
        <v>0</v>
      </c>
      <c r="Y256" s="123">
        <f>IF(AC256=0,I256,0)</f>
        <v>0</v>
      </c>
      <c r="Z256" s="123">
        <f>IF(AC256=14,I256,0)</f>
        <v>0</v>
      </c>
      <c r="AA256" s="123">
        <f>IF(AC256=20,I256,0)</f>
        <v>0</v>
      </c>
      <c r="AC256" s="125">
        <v>20</v>
      </c>
      <c r="AD256" s="125">
        <f>F256*0.634543385699604</f>
        <v>0</v>
      </c>
      <c r="AE256" s="125">
        <f>F256*(1-0.634543385699604)</f>
        <v>0</v>
      </c>
    </row>
    <row r="257" s="90" customFormat="1" ht="11.25">
      <c r="C257" s="126" t="s">
        <v>2381</v>
      </c>
    </row>
    <row r="258" spans="1:31" s="90" customFormat="1" ht="11.25">
      <c r="A258" s="122" t="s">
        <v>191</v>
      </c>
      <c r="B258" s="122" t="s">
        <v>1275</v>
      </c>
      <c r="C258" s="122" t="s">
        <v>2382</v>
      </c>
      <c r="D258" s="122" t="s">
        <v>3456</v>
      </c>
      <c r="E258" s="123">
        <v>5</v>
      </c>
      <c r="F258" s="123">
        <v>0</v>
      </c>
      <c r="G258" s="123">
        <f>ROUND(E258*AD258,2)</f>
        <v>0</v>
      </c>
      <c r="H258" s="123">
        <f>I258-G258</f>
        <v>0</v>
      </c>
      <c r="I258" s="123">
        <f>ROUND(E258*F258,2)</f>
        <v>0</v>
      </c>
      <c r="J258" s="123">
        <v>0.16257</v>
      </c>
      <c r="K258" s="123">
        <f>E258*J258</f>
        <v>0.81285</v>
      </c>
      <c r="M258" s="124" t="s">
        <v>9</v>
      </c>
      <c r="N258" s="123">
        <f>IF(M258="5",H258,0)</f>
        <v>0</v>
      </c>
      <c r="Y258" s="123">
        <f>IF(AC258=0,I258,0)</f>
        <v>0</v>
      </c>
      <c r="Z258" s="123">
        <f>IF(AC258=14,I258,0)</f>
        <v>0</v>
      </c>
      <c r="AA258" s="123">
        <f>IF(AC258=20,I258,0)</f>
        <v>0</v>
      </c>
      <c r="AC258" s="125">
        <v>20</v>
      </c>
      <c r="AD258" s="125">
        <f>F258*0.63613946536046</f>
        <v>0</v>
      </c>
      <c r="AE258" s="125">
        <f>F258*(1-0.63613946536046)</f>
        <v>0</v>
      </c>
    </row>
    <row r="259" s="90" customFormat="1" ht="11.25">
      <c r="C259" s="126" t="s">
        <v>2381</v>
      </c>
    </row>
    <row r="260" spans="1:31" s="90" customFormat="1" ht="11.25">
      <c r="A260" s="122" t="s">
        <v>192</v>
      </c>
      <c r="B260" s="122" t="s">
        <v>1276</v>
      </c>
      <c r="C260" s="122" t="s">
        <v>2383</v>
      </c>
      <c r="D260" s="122" t="s">
        <v>3456</v>
      </c>
      <c r="E260" s="123">
        <v>6</v>
      </c>
      <c r="F260" s="123">
        <v>0</v>
      </c>
      <c r="G260" s="123">
        <f>ROUND(E260*AD260,2)</f>
        <v>0</v>
      </c>
      <c r="H260" s="123">
        <f>I260-G260</f>
        <v>0</v>
      </c>
      <c r="I260" s="123">
        <f>ROUND(E260*F260,2)</f>
        <v>0</v>
      </c>
      <c r="J260" s="123">
        <v>0.16507</v>
      </c>
      <c r="K260" s="123">
        <f>E260*J260</f>
        <v>0.99042</v>
      </c>
      <c r="M260" s="124" t="s">
        <v>9</v>
      </c>
      <c r="N260" s="123">
        <f>IF(M260="5",H260,0)</f>
        <v>0</v>
      </c>
      <c r="Y260" s="123">
        <f>IF(AC260=0,I260,0)</f>
        <v>0</v>
      </c>
      <c r="Z260" s="123">
        <f>IF(AC260=14,I260,0)</f>
        <v>0</v>
      </c>
      <c r="AA260" s="123">
        <f>IF(AC260=20,I260,0)</f>
        <v>0</v>
      </c>
      <c r="AC260" s="125">
        <v>20</v>
      </c>
      <c r="AD260" s="125">
        <f>F260*0.677588703349682</f>
        <v>0</v>
      </c>
      <c r="AE260" s="125">
        <f>F260*(1-0.677588703349682)</f>
        <v>0</v>
      </c>
    </row>
    <row r="261" s="90" customFormat="1" ht="11.25">
      <c r="C261" s="126" t="s">
        <v>2384</v>
      </c>
    </row>
    <row r="262" spans="1:31" s="90" customFormat="1" ht="11.25">
      <c r="A262" s="122" t="s">
        <v>193</v>
      </c>
      <c r="B262" s="122" t="s">
        <v>1277</v>
      </c>
      <c r="C262" s="122" t="s">
        <v>2385</v>
      </c>
      <c r="D262" s="122" t="s">
        <v>3456</v>
      </c>
      <c r="E262" s="123">
        <v>5</v>
      </c>
      <c r="F262" s="123">
        <v>0</v>
      </c>
      <c r="G262" s="123">
        <f>ROUND(E262*AD262,2)</f>
        <v>0</v>
      </c>
      <c r="H262" s="123">
        <f>I262-G262</f>
        <v>0</v>
      </c>
      <c r="I262" s="123">
        <f>ROUND(E262*F262,2)</f>
        <v>0</v>
      </c>
      <c r="J262" s="123">
        <v>0.16348</v>
      </c>
      <c r="K262" s="123">
        <f>E262*J262</f>
        <v>0.8173999999999999</v>
      </c>
      <c r="M262" s="124" t="s">
        <v>9</v>
      </c>
      <c r="N262" s="123">
        <f>IF(M262="5",H262,0)</f>
        <v>0</v>
      </c>
      <c r="Y262" s="123">
        <f>IF(AC262=0,I262,0)</f>
        <v>0</v>
      </c>
      <c r="Z262" s="123">
        <f>IF(AC262=14,I262,0)</f>
        <v>0</v>
      </c>
      <c r="AA262" s="123">
        <f>IF(AC262=20,I262,0)</f>
        <v>0</v>
      </c>
      <c r="AC262" s="125">
        <v>20</v>
      </c>
      <c r="AD262" s="125">
        <f>F262*0.644556442620757</f>
        <v>0</v>
      </c>
      <c r="AE262" s="125">
        <f>F262*(1-0.644556442620757)</f>
        <v>0</v>
      </c>
    </row>
    <row r="263" s="90" customFormat="1" ht="11.25">
      <c r="C263" s="126" t="s">
        <v>2381</v>
      </c>
    </row>
    <row r="264" spans="1:31" s="90" customFormat="1" ht="11.25">
      <c r="A264" s="122" t="s">
        <v>194</v>
      </c>
      <c r="B264" s="122" t="s">
        <v>1278</v>
      </c>
      <c r="C264" s="122" t="s">
        <v>2386</v>
      </c>
      <c r="D264" s="122" t="s">
        <v>3456</v>
      </c>
      <c r="E264" s="123">
        <v>3</v>
      </c>
      <c r="F264" s="123">
        <v>0</v>
      </c>
      <c r="G264" s="123">
        <f>ROUND(E264*AD264,2)</f>
        <v>0</v>
      </c>
      <c r="H264" s="123">
        <f>I264-G264</f>
        <v>0</v>
      </c>
      <c r="I264" s="123">
        <f>ROUND(E264*F264,2)</f>
        <v>0</v>
      </c>
      <c r="J264" s="123">
        <v>0.16798</v>
      </c>
      <c r="K264" s="123">
        <f>E264*J264</f>
        <v>0.5039399999999999</v>
      </c>
      <c r="M264" s="124" t="s">
        <v>9</v>
      </c>
      <c r="N264" s="123">
        <f>IF(M264="5",H264,0)</f>
        <v>0</v>
      </c>
      <c r="Y264" s="123">
        <f>IF(AC264=0,I264,0)</f>
        <v>0</v>
      </c>
      <c r="Z264" s="123">
        <f>IF(AC264=14,I264,0)</f>
        <v>0</v>
      </c>
      <c r="AA264" s="123">
        <f>IF(AC264=20,I264,0)</f>
        <v>0</v>
      </c>
      <c r="AC264" s="125">
        <v>20</v>
      </c>
      <c r="AD264" s="125">
        <f>F264*0.685177144270673</f>
        <v>0</v>
      </c>
      <c r="AE264" s="125">
        <f>F264*(1-0.685177144270673)</f>
        <v>0</v>
      </c>
    </row>
    <row r="265" s="90" customFormat="1" ht="11.25">
      <c r="C265" s="126" t="s">
        <v>2384</v>
      </c>
    </row>
    <row r="266" spans="1:31" s="90" customFormat="1" ht="11.25">
      <c r="A266" s="122" t="s">
        <v>195</v>
      </c>
      <c r="B266" s="122" t="s">
        <v>1279</v>
      </c>
      <c r="C266" s="122" t="s">
        <v>2387</v>
      </c>
      <c r="D266" s="122" t="s">
        <v>3456</v>
      </c>
      <c r="E266" s="123">
        <v>4</v>
      </c>
      <c r="F266" s="123">
        <v>0</v>
      </c>
      <c r="G266" s="123">
        <f>ROUND(E266*AD266,2)</f>
        <v>0</v>
      </c>
      <c r="H266" s="123">
        <f>I266-G266</f>
        <v>0</v>
      </c>
      <c r="I266" s="123">
        <f>ROUND(E266*F266,2)</f>
        <v>0</v>
      </c>
      <c r="J266" s="123">
        <v>0.1654</v>
      </c>
      <c r="K266" s="123">
        <f>E266*J266</f>
        <v>0.6616</v>
      </c>
      <c r="M266" s="124" t="s">
        <v>9</v>
      </c>
      <c r="N266" s="123">
        <f>IF(M266="5",H266,0)</f>
        <v>0</v>
      </c>
      <c r="Y266" s="123">
        <f>IF(AC266=0,I266,0)</f>
        <v>0</v>
      </c>
      <c r="Z266" s="123">
        <f>IF(AC266=14,I266,0)</f>
        <v>0</v>
      </c>
      <c r="AA266" s="123">
        <f>IF(AC266=20,I266,0)</f>
        <v>0</v>
      </c>
      <c r="AC266" s="125">
        <v>20</v>
      </c>
      <c r="AD266" s="125">
        <f>F266*0.644055599630752</f>
        <v>0</v>
      </c>
      <c r="AE266" s="125">
        <f>F266*(1-0.644055599630752)</f>
        <v>0</v>
      </c>
    </row>
    <row r="267" s="90" customFormat="1" ht="11.25">
      <c r="C267" s="126" t="s">
        <v>2381</v>
      </c>
    </row>
    <row r="268" spans="1:31" s="90" customFormat="1" ht="11.25">
      <c r="A268" s="122" t="s">
        <v>196</v>
      </c>
      <c r="B268" s="122" t="s">
        <v>1280</v>
      </c>
      <c r="C268" s="122" t="s">
        <v>2388</v>
      </c>
      <c r="D268" s="122" t="s">
        <v>3456</v>
      </c>
      <c r="E268" s="123">
        <v>7</v>
      </c>
      <c r="F268" s="123">
        <v>0</v>
      </c>
      <c r="G268" s="123">
        <f>ROUND(E268*AD268,2)</f>
        <v>0</v>
      </c>
      <c r="H268" s="123">
        <f>I268-G268</f>
        <v>0</v>
      </c>
      <c r="I268" s="123">
        <f>ROUND(E268*F268,2)</f>
        <v>0</v>
      </c>
      <c r="J268" s="123">
        <v>0.1704</v>
      </c>
      <c r="K268" s="123">
        <f>E268*J268</f>
        <v>1.1928</v>
      </c>
      <c r="M268" s="124" t="s">
        <v>9</v>
      </c>
      <c r="N268" s="123">
        <f>IF(M268="5",H268,0)</f>
        <v>0</v>
      </c>
      <c r="Y268" s="123">
        <f>IF(AC268=0,I268,0)</f>
        <v>0</v>
      </c>
      <c r="Z268" s="123">
        <f>IF(AC268=14,I268,0)</f>
        <v>0</v>
      </c>
      <c r="AA268" s="123">
        <f>IF(AC268=20,I268,0)</f>
        <v>0</v>
      </c>
      <c r="AC268" s="125">
        <v>20</v>
      </c>
      <c r="AD268" s="125">
        <f>F268*0.684427921267001</f>
        <v>0</v>
      </c>
      <c r="AE268" s="125">
        <f>F268*(1-0.684427921267001)</f>
        <v>0</v>
      </c>
    </row>
    <row r="269" s="90" customFormat="1" ht="11.25">
      <c r="C269" s="126" t="s">
        <v>2384</v>
      </c>
    </row>
    <row r="270" spans="1:31" s="90" customFormat="1" ht="11.25">
      <c r="A270" s="122" t="s">
        <v>197</v>
      </c>
      <c r="B270" s="122" t="s">
        <v>1281</v>
      </c>
      <c r="C270" s="122" t="s">
        <v>2389</v>
      </c>
      <c r="D270" s="122" t="s">
        <v>3456</v>
      </c>
      <c r="E270" s="123">
        <v>2</v>
      </c>
      <c r="F270" s="123">
        <v>0</v>
      </c>
      <c r="G270" s="123">
        <f>ROUND(E270*AD270,2)</f>
        <v>0</v>
      </c>
      <c r="H270" s="123">
        <f>I270-G270</f>
        <v>0</v>
      </c>
      <c r="I270" s="123">
        <f>ROUND(E270*F270,2)</f>
        <v>0</v>
      </c>
      <c r="J270" s="123">
        <v>0.18751</v>
      </c>
      <c r="K270" s="123">
        <f>E270*J270</f>
        <v>0.37502</v>
      </c>
      <c r="M270" s="124" t="s">
        <v>9</v>
      </c>
      <c r="N270" s="123">
        <f>IF(M270="5",H270,0)</f>
        <v>0</v>
      </c>
      <c r="Y270" s="123">
        <f>IF(AC270=0,I270,0)</f>
        <v>0</v>
      </c>
      <c r="Z270" s="123">
        <f>IF(AC270=14,I270,0)</f>
        <v>0</v>
      </c>
      <c r="AA270" s="123">
        <f>IF(AC270=20,I270,0)</f>
        <v>0</v>
      </c>
      <c r="AC270" s="125">
        <v>20</v>
      </c>
      <c r="AD270" s="125">
        <f>F270*0.712828476719391</f>
        <v>0</v>
      </c>
      <c r="AE270" s="125">
        <f>F270*(1-0.712828476719391)</f>
        <v>0</v>
      </c>
    </row>
    <row r="271" s="90" customFormat="1" ht="11.25">
      <c r="C271" s="126" t="s">
        <v>2390</v>
      </c>
    </row>
    <row r="272" spans="1:31" s="90" customFormat="1" ht="11.25">
      <c r="A272" s="122" t="s">
        <v>198</v>
      </c>
      <c r="B272" s="122" t="s">
        <v>1139</v>
      </c>
      <c r="C272" s="122" t="s">
        <v>2197</v>
      </c>
      <c r="D272" s="122" t="s">
        <v>3460</v>
      </c>
      <c r="E272" s="123">
        <v>7.60033</v>
      </c>
      <c r="F272" s="123">
        <v>0</v>
      </c>
      <c r="G272" s="123">
        <f>ROUND(E272*AD272,2)</f>
        <v>0</v>
      </c>
      <c r="H272" s="123">
        <f>I272-G272</f>
        <v>0</v>
      </c>
      <c r="I272" s="123">
        <f>ROUND(E272*F272,2)</f>
        <v>0</v>
      </c>
      <c r="J272" s="123">
        <v>0</v>
      </c>
      <c r="K272" s="123">
        <f>E272*J272</f>
        <v>0</v>
      </c>
      <c r="M272" s="124" t="s">
        <v>11</v>
      </c>
      <c r="N272" s="123">
        <f>IF(M272="5",H272,0)</f>
        <v>0</v>
      </c>
      <c r="Y272" s="123">
        <f>IF(AC272=0,I272,0)</f>
        <v>0</v>
      </c>
      <c r="Z272" s="123">
        <f>IF(AC272=14,I272,0)</f>
        <v>0</v>
      </c>
      <c r="AA272" s="123">
        <f>IF(AC272=20,I272,0)</f>
        <v>0</v>
      </c>
      <c r="AC272" s="125">
        <v>20</v>
      </c>
      <c r="AD272" s="125">
        <f>F272*0</f>
        <v>0</v>
      </c>
      <c r="AE272" s="125">
        <f>F272*(1-0)</f>
        <v>0</v>
      </c>
    </row>
    <row r="273" spans="1:36" s="90" customFormat="1" ht="11.25">
      <c r="A273" s="127"/>
      <c r="B273" s="128" t="s">
        <v>717</v>
      </c>
      <c r="C273" s="129" t="s">
        <v>2391</v>
      </c>
      <c r="D273" s="130"/>
      <c r="E273" s="130"/>
      <c r="F273" s="130"/>
      <c r="G273" s="121">
        <f>SUM(G274:G287)</f>
        <v>0</v>
      </c>
      <c r="H273" s="121">
        <f>SUM(H274:H287)</f>
        <v>0</v>
      </c>
      <c r="I273" s="121">
        <f>G273+H273</f>
        <v>0</v>
      </c>
      <c r="J273" s="114"/>
      <c r="K273" s="121">
        <f>SUM(K274:K287)</f>
        <v>3.5164424999999997</v>
      </c>
      <c r="O273" s="121">
        <f>IF(P273="PR",I273,SUM(N274:N287))</f>
        <v>0</v>
      </c>
      <c r="P273" s="114" t="s">
        <v>3490</v>
      </c>
      <c r="Q273" s="121">
        <f>IF(P273="HS",G273,0)</f>
        <v>0</v>
      </c>
      <c r="R273" s="121">
        <f>IF(P273="HS",H273-O273,0)</f>
        <v>0</v>
      </c>
      <c r="S273" s="121">
        <f>IF(P273="PS",G273,0)</f>
        <v>0</v>
      </c>
      <c r="T273" s="121">
        <f>IF(P273="PS",H273-O273,0)</f>
        <v>0</v>
      </c>
      <c r="U273" s="121">
        <f>IF(P273="MP",G273,0)</f>
        <v>0</v>
      </c>
      <c r="V273" s="121">
        <f>IF(P273="MP",H273-O273,0)</f>
        <v>0</v>
      </c>
      <c r="W273" s="121">
        <f>IF(P273="OM",G273,0)</f>
        <v>0</v>
      </c>
      <c r="X273" s="114"/>
      <c r="AH273" s="121">
        <f>SUM(Y274:Y287)</f>
        <v>0</v>
      </c>
      <c r="AI273" s="121">
        <f>SUM(Z274:Z287)</f>
        <v>0</v>
      </c>
      <c r="AJ273" s="121">
        <f>SUM(AA274:AA287)</f>
        <v>0</v>
      </c>
    </row>
    <row r="274" spans="1:31" s="90" customFormat="1" ht="11.25">
      <c r="A274" s="122" t="s">
        <v>199</v>
      </c>
      <c r="B274" s="122" t="s">
        <v>1282</v>
      </c>
      <c r="C274" s="122" t="s">
        <v>2392</v>
      </c>
      <c r="D274" s="122" t="s">
        <v>3459</v>
      </c>
      <c r="E274" s="123">
        <v>845.42</v>
      </c>
      <c r="F274" s="123">
        <v>0</v>
      </c>
      <c r="G274" s="123">
        <f>ROUND(E274*AD274,2)</f>
        <v>0</v>
      </c>
      <c r="H274" s="123">
        <f>I274-G274</f>
        <v>0</v>
      </c>
      <c r="I274" s="123">
        <f>ROUND(E274*F274,2)</f>
        <v>0</v>
      </c>
      <c r="J274" s="123">
        <v>0.00212</v>
      </c>
      <c r="K274" s="123">
        <f>E274*J274</f>
        <v>1.7922904</v>
      </c>
      <c r="M274" s="124" t="s">
        <v>7</v>
      </c>
      <c r="N274" s="123">
        <f>IF(M274="5",H274,0)</f>
        <v>0</v>
      </c>
      <c r="Y274" s="123">
        <f>IF(AC274=0,I274,0)</f>
        <v>0</v>
      </c>
      <c r="Z274" s="123">
        <f>IF(AC274=14,I274,0)</f>
        <v>0</v>
      </c>
      <c r="AA274" s="123">
        <f>IF(AC274=20,I274,0)</f>
        <v>0</v>
      </c>
      <c r="AC274" s="125">
        <v>20</v>
      </c>
      <c r="AD274" s="125">
        <f>F274*0.594707703038493</f>
        <v>0</v>
      </c>
      <c r="AE274" s="125">
        <f>F274*(1-0.594707703038493)</f>
        <v>0</v>
      </c>
    </row>
    <row r="275" s="90" customFormat="1" ht="11.25">
      <c r="C275" s="126" t="s">
        <v>2393</v>
      </c>
    </row>
    <row r="276" spans="1:31" s="90" customFormat="1" ht="11.25">
      <c r="A276" s="122" t="s">
        <v>200</v>
      </c>
      <c r="B276" s="122" t="s">
        <v>1283</v>
      </c>
      <c r="C276" s="122" t="s">
        <v>2394</v>
      </c>
      <c r="D276" s="122" t="s">
        <v>3459</v>
      </c>
      <c r="E276" s="123">
        <v>349.01</v>
      </c>
      <c r="F276" s="123">
        <v>0</v>
      </c>
      <c r="G276" s="123">
        <f>ROUND(E276*AD276,2)</f>
        <v>0</v>
      </c>
      <c r="H276" s="123">
        <f>I276-G276</f>
        <v>0</v>
      </c>
      <c r="I276" s="123">
        <f>ROUND(E276*F276,2)</f>
        <v>0</v>
      </c>
      <c r="J276" s="123">
        <v>0.00238</v>
      </c>
      <c r="K276" s="123">
        <f>E276*J276</f>
        <v>0.8306438</v>
      </c>
      <c r="M276" s="124" t="s">
        <v>7</v>
      </c>
      <c r="N276" s="123">
        <f>IF(M276="5",H276,0)</f>
        <v>0</v>
      </c>
      <c r="Y276" s="123">
        <f>IF(AC276=0,I276,0)</f>
        <v>0</v>
      </c>
      <c r="Z276" s="123">
        <f>IF(AC276=14,I276,0)</f>
        <v>0</v>
      </c>
      <c r="AA276" s="123">
        <f>IF(AC276=20,I276,0)</f>
        <v>0</v>
      </c>
      <c r="AC276" s="125">
        <v>20</v>
      </c>
      <c r="AD276" s="125">
        <f>F276*0.558684731313746</f>
        <v>0</v>
      </c>
      <c r="AE276" s="125">
        <f>F276*(1-0.558684731313746)</f>
        <v>0</v>
      </c>
    </row>
    <row r="277" s="90" customFormat="1" ht="11.25">
      <c r="C277" s="126" t="s">
        <v>2393</v>
      </c>
    </row>
    <row r="278" spans="1:31" s="90" customFormat="1" ht="11.25">
      <c r="A278" s="122" t="s">
        <v>201</v>
      </c>
      <c r="B278" s="122" t="s">
        <v>1284</v>
      </c>
      <c r="C278" s="122" t="s">
        <v>2395</v>
      </c>
      <c r="D278" s="122" t="s">
        <v>3459</v>
      </c>
      <c r="E278" s="123">
        <v>845.42</v>
      </c>
      <c r="F278" s="123">
        <v>0</v>
      </c>
      <c r="G278" s="123">
        <f>ROUND(E278*AD278,2)</f>
        <v>0</v>
      </c>
      <c r="H278" s="123">
        <f>I278-G278</f>
        <v>0</v>
      </c>
      <c r="I278" s="123">
        <f>ROUND(E278*F278,2)</f>
        <v>0</v>
      </c>
      <c r="J278" s="123">
        <v>0.00032</v>
      </c>
      <c r="K278" s="123">
        <f>E278*J278</f>
        <v>0.2705344</v>
      </c>
      <c r="M278" s="124" t="s">
        <v>7</v>
      </c>
      <c r="N278" s="123">
        <f>IF(M278="5",H278,0)</f>
        <v>0</v>
      </c>
      <c r="Y278" s="123">
        <f>IF(AC278=0,I278,0)</f>
        <v>0</v>
      </c>
      <c r="Z278" s="123">
        <f>IF(AC278=14,I278,0)</f>
        <v>0</v>
      </c>
      <c r="AA278" s="123">
        <f>IF(AC278=20,I278,0)</f>
        <v>0</v>
      </c>
      <c r="AC278" s="125">
        <v>20</v>
      </c>
      <c r="AD278" s="125">
        <f>F278*0.424674674674675</f>
        <v>0</v>
      </c>
      <c r="AE278" s="125">
        <f>F278*(1-0.424674674674675)</f>
        <v>0</v>
      </c>
    </row>
    <row r="279" s="90" customFormat="1" ht="22.5">
      <c r="C279" s="126" t="s">
        <v>2396</v>
      </c>
    </row>
    <row r="280" spans="1:31" s="90" customFormat="1" ht="11.25">
      <c r="A280" s="122" t="s">
        <v>202</v>
      </c>
      <c r="B280" s="122" t="s">
        <v>1285</v>
      </c>
      <c r="C280" s="122" t="s">
        <v>2397</v>
      </c>
      <c r="D280" s="122" t="s">
        <v>3459</v>
      </c>
      <c r="E280" s="123">
        <v>845.42</v>
      </c>
      <c r="F280" s="123">
        <v>0</v>
      </c>
      <c r="G280" s="123">
        <f>ROUND(E280*AD280,2)</f>
        <v>0</v>
      </c>
      <c r="H280" s="123">
        <f>I280-G280</f>
        <v>0</v>
      </c>
      <c r="I280" s="123">
        <f>ROUND(E280*F280,2)</f>
        <v>0</v>
      </c>
      <c r="J280" s="123">
        <v>0.00032</v>
      </c>
      <c r="K280" s="123">
        <f>E280*J280</f>
        <v>0.2705344</v>
      </c>
      <c r="M280" s="124" t="s">
        <v>7</v>
      </c>
      <c r="N280" s="123">
        <f>IF(M280="5",H280,0)</f>
        <v>0</v>
      </c>
      <c r="Y280" s="123">
        <f>IF(AC280=0,I280,0)</f>
        <v>0</v>
      </c>
      <c r="Z280" s="123">
        <f>IF(AC280=14,I280,0)</f>
        <v>0</v>
      </c>
      <c r="AA280" s="123">
        <f>IF(AC280=20,I280,0)</f>
        <v>0</v>
      </c>
      <c r="AC280" s="125">
        <v>20</v>
      </c>
      <c r="AD280" s="125">
        <f>F280*0.372312417727073</f>
        <v>0</v>
      </c>
      <c r="AE280" s="125">
        <f>F280*(1-0.372312417727073)</f>
        <v>0</v>
      </c>
    </row>
    <row r="281" s="90" customFormat="1" ht="22.5">
      <c r="C281" s="126" t="s">
        <v>2396</v>
      </c>
    </row>
    <row r="282" spans="1:31" s="90" customFormat="1" ht="11.25">
      <c r="A282" s="122" t="s">
        <v>203</v>
      </c>
      <c r="B282" s="122" t="s">
        <v>1286</v>
      </c>
      <c r="C282" s="122" t="s">
        <v>2398</v>
      </c>
      <c r="D282" s="122" t="s">
        <v>3459</v>
      </c>
      <c r="E282" s="123">
        <v>348.95</v>
      </c>
      <c r="F282" s="123">
        <v>0</v>
      </c>
      <c r="G282" s="123">
        <f>ROUND(E282*AD282,2)</f>
        <v>0</v>
      </c>
      <c r="H282" s="123">
        <f>I282-G282</f>
        <v>0</v>
      </c>
      <c r="I282" s="123">
        <f>ROUND(E282*F282,2)</f>
        <v>0</v>
      </c>
      <c r="J282" s="123">
        <v>0.00049</v>
      </c>
      <c r="K282" s="123">
        <f>E282*J282</f>
        <v>0.17098549999999998</v>
      </c>
      <c r="M282" s="124" t="s">
        <v>7</v>
      </c>
      <c r="N282" s="123">
        <f>IF(M282="5",H282,0)</f>
        <v>0</v>
      </c>
      <c r="Y282" s="123">
        <f>IF(AC282=0,I282,0)</f>
        <v>0</v>
      </c>
      <c r="Z282" s="123">
        <f>IF(AC282=14,I282,0)</f>
        <v>0</v>
      </c>
      <c r="AA282" s="123">
        <f>IF(AC282=20,I282,0)</f>
        <v>0</v>
      </c>
      <c r="AC282" s="125">
        <v>20</v>
      </c>
      <c r="AD282" s="125">
        <f>F282*0.324346141427188</f>
        <v>0</v>
      </c>
      <c r="AE282" s="125">
        <f>F282*(1-0.324346141427188)</f>
        <v>0</v>
      </c>
    </row>
    <row r="283" s="90" customFormat="1" ht="11.25">
      <c r="C283" s="126" t="s">
        <v>2399</v>
      </c>
    </row>
    <row r="284" spans="1:31" s="90" customFormat="1" ht="11.25">
      <c r="A284" s="122" t="s">
        <v>204</v>
      </c>
      <c r="B284" s="122" t="s">
        <v>1287</v>
      </c>
      <c r="C284" s="122" t="s">
        <v>2400</v>
      </c>
      <c r="D284" s="122" t="s">
        <v>3459</v>
      </c>
      <c r="E284" s="123">
        <v>348.95</v>
      </c>
      <c r="F284" s="123">
        <v>0</v>
      </c>
      <c r="G284" s="123">
        <f>ROUND(E284*AD284,2)</f>
        <v>0</v>
      </c>
      <c r="H284" s="123">
        <f>I284-G284</f>
        <v>0</v>
      </c>
      <c r="I284" s="123">
        <f>ROUND(E284*F284,2)</f>
        <v>0</v>
      </c>
      <c r="J284" s="123">
        <v>0.00052</v>
      </c>
      <c r="K284" s="123">
        <f>E284*J284</f>
        <v>0.18145399999999998</v>
      </c>
      <c r="M284" s="124" t="s">
        <v>7</v>
      </c>
      <c r="N284" s="123">
        <f>IF(M284="5",H284,0)</f>
        <v>0</v>
      </c>
      <c r="Y284" s="123">
        <f>IF(AC284=0,I284,0)</f>
        <v>0</v>
      </c>
      <c r="Z284" s="123">
        <f>IF(AC284=14,I284,0)</f>
        <v>0</v>
      </c>
      <c r="AA284" s="123">
        <f>IF(AC284=20,I284,0)</f>
        <v>0</v>
      </c>
      <c r="AC284" s="125">
        <v>20</v>
      </c>
      <c r="AD284" s="125">
        <f>F284*0.317856158721411</f>
        <v>0</v>
      </c>
      <c r="AE284" s="125">
        <f>F284*(1-0.317856158721411)</f>
        <v>0</v>
      </c>
    </row>
    <row r="285" s="90" customFormat="1" ht="11.25">
      <c r="C285" s="126" t="s">
        <v>2399</v>
      </c>
    </row>
    <row r="286" spans="1:31" s="90" customFormat="1" ht="11.25">
      <c r="A286" s="122" t="s">
        <v>205</v>
      </c>
      <c r="B286" s="122" t="s">
        <v>1288</v>
      </c>
      <c r="C286" s="122" t="s">
        <v>2401</v>
      </c>
      <c r="D286" s="122" t="s">
        <v>3455</v>
      </c>
      <c r="E286" s="123">
        <v>94.98</v>
      </c>
      <c r="F286" s="123">
        <v>0</v>
      </c>
      <c r="G286" s="123">
        <f>ROUND(E286*AD286,2)</f>
        <v>0</v>
      </c>
      <c r="H286" s="123">
        <f>I286-G286</f>
        <v>0</v>
      </c>
      <c r="I286" s="123">
        <f>ROUND(E286*F286,2)</f>
        <v>0</v>
      </c>
      <c r="J286" s="123">
        <v>0</v>
      </c>
      <c r="K286" s="123">
        <f>E286*J286</f>
        <v>0</v>
      </c>
      <c r="M286" s="124" t="s">
        <v>7</v>
      </c>
      <c r="N286" s="123">
        <f>IF(M286="5",H286,0)</f>
        <v>0</v>
      </c>
      <c r="Y286" s="123">
        <f>IF(AC286=0,I286,0)</f>
        <v>0</v>
      </c>
      <c r="Z286" s="123">
        <f>IF(AC286=14,I286,0)</f>
        <v>0</v>
      </c>
      <c r="AA286" s="123">
        <f>IF(AC286=20,I286,0)</f>
        <v>0</v>
      </c>
      <c r="AC286" s="125">
        <v>20</v>
      </c>
      <c r="AD286" s="125">
        <f>F286*0</f>
        <v>0</v>
      </c>
      <c r="AE286" s="125">
        <f>F286*(1-0)</f>
        <v>0</v>
      </c>
    </row>
    <row r="287" spans="1:31" s="90" customFormat="1" ht="11.25">
      <c r="A287" s="122" t="s">
        <v>206</v>
      </c>
      <c r="B287" s="122" t="s">
        <v>1289</v>
      </c>
      <c r="C287" s="122" t="s">
        <v>2402</v>
      </c>
      <c r="D287" s="122" t="s">
        <v>3460</v>
      </c>
      <c r="E287" s="123">
        <v>3.51644</v>
      </c>
      <c r="F287" s="123">
        <v>0</v>
      </c>
      <c r="G287" s="123">
        <f>ROUND(E287*AD287,2)</f>
        <v>0</v>
      </c>
      <c r="H287" s="123">
        <f>I287-G287</f>
        <v>0</v>
      </c>
      <c r="I287" s="123">
        <f>ROUND(E287*F287,2)</f>
        <v>0</v>
      </c>
      <c r="J287" s="123">
        <v>0</v>
      </c>
      <c r="K287" s="123">
        <f>E287*J287</f>
        <v>0</v>
      </c>
      <c r="M287" s="124" t="s">
        <v>11</v>
      </c>
      <c r="N287" s="123">
        <f>IF(M287="5",H287,0)</f>
        <v>0</v>
      </c>
      <c r="Y287" s="123">
        <f>IF(AC287=0,I287,0)</f>
        <v>0</v>
      </c>
      <c r="Z287" s="123">
        <f>IF(AC287=14,I287,0)</f>
        <v>0</v>
      </c>
      <c r="AA287" s="123">
        <f>IF(AC287=20,I287,0)</f>
        <v>0</v>
      </c>
      <c r="AC287" s="125">
        <v>20</v>
      </c>
      <c r="AD287" s="125">
        <f>F287*0</f>
        <v>0</v>
      </c>
      <c r="AE287" s="125">
        <f>F287*(1-0)</f>
        <v>0</v>
      </c>
    </row>
    <row r="288" spans="1:36" s="90" customFormat="1" ht="11.25">
      <c r="A288" s="127"/>
      <c r="B288" s="128" t="s">
        <v>718</v>
      </c>
      <c r="C288" s="129" t="s">
        <v>2403</v>
      </c>
      <c r="D288" s="130"/>
      <c r="E288" s="130"/>
      <c r="F288" s="130"/>
      <c r="G288" s="121">
        <f>SUM(G289:G291)</f>
        <v>0</v>
      </c>
      <c r="H288" s="121">
        <f>SUM(H289:H291)</f>
        <v>0</v>
      </c>
      <c r="I288" s="121">
        <f>G288+H288</f>
        <v>0</v>
      </c>
      <c r="J288" s="114"/>
      <c r="K288" s="121">
        <f>SUM(K289:K291)</f>
        <v>0.8983139999999998</v>
      </c>
      <c r="O288" s="121">
        <f>IF(P288="PR",I288,SUM(N289:N291))</f>
        <v>0</v>
      </c>
      <c r="P288" s="114" t="s">
        <v>3490</v>
      </c>
      <c r="Q288" s="121">
        <f>IF(P288="HS",G288,0)</f>
        <v>0</v>
      </c>
      <c r="R288" s="121">
        <f>IF(P288="HS",H288-O288,0)</f>
        <v>0</v>
      </c>
      <c r="S288" s="121">
        <f>IF(P288="PS",G288,0)</f>
        <v>0</v>
      </c>
      <c r="T288" s="121">
        <f>IF(P288="PS",H288-O288,0)</f>
        <v>0</v>
      </c>
      <c r="U288" s="121">
        <f>IF(P288="MP",G288,0)</f>
        <v>0</v>
      </c>
      <c r="V288" s="121">
        <f>IF(P288="MP",H288-O288,0)</f>
        <v>0</v>
      </c>
      <c r="W288" s="121">
        <f>IF(P288="OM",G288,0)</f>
        <v>0</v>
      </c>
      <c r="X288" s="114"/>
      <c r="AH288" s="121">
        <f>SUM(Y289:Y291)</f>
        <v>0</v>
      </c>
      <c r="AI288" s="121">
        <f>SUM(Z289:Z291)</f>
        <v>0</v>
      </c>
      <c r="AJ288" s="121">
        <f>SUM(AA289:AA291)</f>
        <v>0</v>
      </c>
    </row>
    <row r="289" spans="1:31" s="90" customFormat="1" ht="11.25">
      <c r="A289" s="122" t="s">
        <v>207</v>
      </c>
      <c r="B289" s="122" t="s">
        <v>1290</v>
      </c>
      <c r="C289" s="122" t="s">
        <v>2404</v>
      </c>
      <c r="D289" s="122" t="s">
        <v>3459</v>
      </c>
      <c r="E289" s="123">
        <v>264.21</v>
      </c>
      <c r="F289" s="123">
        <v>0</v>
      </c>
      <c r="G289" s="123">
        <f>ROUND(E289*AD289,2)</f>
        <v>0</v>
      </c>
      <c r="H289" s="123">
        <f>I289-G289</f>
        <v>0</v>
      </c>
      <c r="I289" s="123">
        <f>ROUND(E289*F289,2)</f>
        <v>0</v>
      </c>
      <c r="J289" s="123">
        <v>0.0034</v>
      </c>
      <c r="K289" s="123">
        <f>E289*J289</f>
        <v>0.8983139999999998</v>
      </c>
      <c r="M289" s="124" t="s">
        <v>9</v>
      </c>
      <c r="N289" s="123">
        <f>IF(M289="5",H289,0)</f>
        <v>0</v>
      </c>
      <c r="Y289" s="123">
        <f>IF(AC289=0,I289,0)</f>
        <v>0</v>
      </c>
      <c r="Z289" s="123">
        <f>IF(AC289=14,I289,0)</f>
        <v>0</v>
      </c>
      <c r="AA289" s="123">
        <f>IF(AC289=20,I289,0)</f>
        <v>0</v>
      </c>
      <c r="AC289" s="125">
        <v>20</v>
      </c>
      <c r="AD289" s="125">
        <f>F289*0.696953529317612</f>
        <v>0</v>
      </c>
      <c r="AE289" s="125">
        <f>F289*(1-0.696953529317612)</f>
        <v>0</v>
      </c>
    </row>
    <row r="290" s="90" customFormat="1" ht="11.25">
      <c r="C290" s="126" t="s">
        <v>2405</v>
      </c>
    </row>
    <row r="291" spans="1:31" s="90" customFormat="1" ht="11.25">
      <c r="A291" s="122" t="s">
        <v>208</v>
      </c>
      <c r="B291" s="122" t="s">
        <v>1291</v>
      </c>
      <c r="C291" s="122" t="s">
        <v>2406</v>
      </c>
      <c r="D291" s="122" t="s">
        <v>3460</v>
      </c>
      <c r="E291" s="123">
        <v>0.89831</v>
      </c>
      <c r="F291" s="123">
        <v>0</v>
      </c>
      <c r="G291" s="123">
        <f>ROUND(E291*AD291,2)</f>
        <v>0</v>
      </c>
      <c r="H291" s="123">
        <f>I291-G291</f>
        <v>0</v>
      </c>
      <c r="I291" s="123">
        <f>ROUND(E291*F291,2)</f>
        <v>0</v>
      </c>
      <c r="J291" s="123">
        <v>0</v>
      </c>
      <c r="K291" s="123">
        <f>E291*J291</f>
        <v>0</v>
      </c>
      <c r="M291" s="124" t="s">
        <v>11</v>
      </c>
      <c r="N291" s="123">
        <f>IF(M291="5",H291,0)</f>
        <v>0</v>
      </c>
      <c r="Y291" s="123">
        <f>IF(AC291=0,I291,0)</f>
        <v>0</v>
      </c>
      <c r="Z291" s="123">
        <f>IF(AC291=14,I291,0)</f>
        <v>0</v>
      </c>
      <c r="AA291" s="123">
        <f>IF(AC291=20,I291,0)</f>
        <v>0</v>
      </c>
      <c r="AC291" s="125">
        <v>20</v>
      </c>
      <c r="AD291" s="125">
        <f>F291*0</f>
        <v>0</v>
      </c>
      <c r="AE291" s="125">
        <f>F291*(1-0)</f>
        <v>0</v>
      </c>
    </row>
    <row r="292" spans="1:36" s="90" customFormat="1" ht="11.25">
      <c r="A292" s="127"/>
      <c r="B292" s="128" t="s">
        <v>719</v>
      </c>
      <c r="C292" s="129" t="s">
        <v>2407</v>
      </c>
      <c r="D292" s="130"/>
      <c r="E292" s="130"/>
      <c r="F292" s="130"/>
      <c r="G292" s="121">
        <f>SUM(G293:G318)</f>
        <v>0</v>
      </c>
      <c r="H292" s="121">
        <f>SUM(H293:H318)</f>
        <v>0</v>
      </c>
      <c r="I292" s="121">
        <f>G292+H292</f>
        <v>0</v>
      </c>
      <c r="J292" s="114"/>
      <c r="K292" s="121">
        <f>SUM(K293:K318)</f>
        <v>26.5159112</v>
      </c>
      <c r="O292" s="121">
        <f>IF(P292="PR",I292,SUM(N293:N318))</f>
        <v>0</v>
      </c>
      <c r="P292" s="114" t="s">
        <v>3490</v>
      </c>
      <c r="Q292" s="121">
        <f>IF(P292="HS",G292,0)</f>
        <v>0</v>
      </c>
      <c r="R292" s="121">
        <f>IF(P292="HS",H292-O292,0)</f>
        <v>0</v>
      </c>
      <c r="S292" s="121">
        <f>IF(P292="PS",G292,0)</f>
        <v>0</v>
      </c>
      <c r="T292" s="121">
        <f>IF(P292="PS",H292-O292,0)</f>
        <v>0</v>
      </c>
      <c r="U292" s="121">
        <f>IF(P292="MP",G292,0)</f>
        <v>0</v>
      </c>
      <c r="V292" s="121">
        <f>IF(P292="MP",H292-O292,0)</f>
        <v>0</v>
      </c>
      <c r="W292" s="121">
        <f>IF(P292="OM",G292,0)</f>
        <v>0</v>
      </c>
      <c r="X292" s="114"/>
      <c r="AH292" s="121">
        <f>SUM(Y293:Y318)</f>
        <v>0</v>
      </c>
      <c r="AI292" s="121">
        <f>SUM(Z293:Z318)</f>
        <v>0</v>
      </c>
      <c r="AJ292" s="121">
        <f>SUM(AA293:AA318)</f>
        <v>0</v>
      </c>
    </row>
    <row r="293" spans="1:31" s="90" customFormat="1" ht="11.25">
      <c r="A293" s="131" t="s">
        <v>209</v>
      </c>
      <c r="B293" s="131" t="s">
        <v>1292</v>
      </c>
      <c r="C293" s="131" t="s">
        <v>2408</v>
      </c>
      <c r="D293" s="131" t="s">
        <v>3458</v>
      </c>
      <c r="E293" s="132">
        <v>11.78</v>
      </c>
      <c r="F293" s="132">
        <v>0</v>
      </c>
      <c r="G293" s="132">
        <f aca="true" t="shared" si="76" ref="G293:G299">ROUND(E293*AD293,2)</f>
        <v>0</v>
      </c>
      <c r="H293" s="132">
        <f aca="true" t="shared" si="77" ref="H293:H299">I293-G293</f>
        <v>0</v>
      </c>
      <c r="I293" s="132">
        <f aca="true" t="shared" si="78" ref="I293:I299">ROUND(E293*F293,2)</f>
        <v>0</v>
      </c>
      <c r="J293" s="132">
        <v>0.02</v>
      </c>
      <c r="K293" s="132">
        <f aca="true" t="shared" si="79" ref="K293:K299">E293*J293</f>
        <v>0.2356</v>
      </c>
      <c r="M293" s="133" t="s">
        <v>1101</v>
      </c>
      <c r="N293" s="132">
        <f aca="true" t="shared" si="80" ref="N293:N299">IF(M293="5",H293,0)</f>
        <v>0</v>
      </c>
      <c r="Y293" s="132">
        <f aca="true" t="shared" si="81" ref="Y293:Y299">IF(AC293=0,I293,0)</f>
        <v>0</v>
      </c>
      <c r="Z293" s="132">
        <f aca="true" t="shared" si="82" ref="Z293:Z299">IF(AC293=14,I293,0)</f>
        <v>0</v>
      </c>
      <c r="AA293" s="132">
        <f aca="true" t="shared" si="83" ref="AA293:AA299">IF(AC293=20,I293,0)</f>
        <v>0</v>
      </c>
      <c r="AC293" s="125">
        <v>20</v>
      </c>
      <c r="AD293" s="125">
        <f>F293*1</f>
        <v>0</v>
      </c>
      <c r="AE293" s="125">
        <f>F293*(1-1)</f>
        <v>0</v>
      </c>
    </row>
    <row r="294" spans="1:31" s="90" customFormat="1" ht="11.25">
      <c r="A294" s="131" t="s">
        <v>210</v>
      </c>
      <c r="B294" s="131" t="s">
        <v>1293</v>
      </c>
      <c r="C294" s="131" t="s">
        <v>2409</v>
      </c>
      <c r="D294" s="131" t="s">
        <v>3458</v>
      </c>
      <c r="E294" s="132">
        <v>67.02</v>
      </c>
      <c r="F294" s="132">
        <v>0</v>
      </c>
      <c r="G294" s="132">
        <f t="shared" si="76"/>
        <v>0</v>
      </c>
      <c r="H294" s="132">
        <f t="shared" si="77"/>
        <v>0</v>
      </c>
      <c r="I294" s="132">
        <f t="shared" si="78"/>
        <v>0</v>
      </c>
      <c r="J294" s="132">
        <v>0.021</v>
      </c>
      <c r="K294" s="132">
        <f t="shared" si="79"/>
        <v>1.40742</v>
      </c>
      <c r="M294" s="133" t="s">
        <v>1101</v>
      </c>
      <c r="N294" s="132">
        <f t="shared" si="80"/>
        <v>0</v>
      </c>
      <c r="Y294" s="132">
        <f t="shared" si="81"/>
        <v>0</v>
      </c>
      <c r="Z294" s="132">
        <f t="shared" si="82"/>
        <v>0</v>
      </c>
      <c r="AA294" s="132">
        <f t="shared" si="83"/>
        <v>0</v>
      </c>
      <c r="AC294" s="125">
        <v>20</v>
      </c>
      <c r="AD294" s="125">
        <f>F294*1</f>
        <v>0</v>
      </c>
      <c r="AE294" s="125">
        <f>F294*(1-1)</f>
        <v>0</v>
      </c>
    </row>
    <row r="295" spans="1:31" s="90" customFormat="1" ht="11.25">
      <c r="A295" s="131" t="s">
        <v>211</v>
      </c>
      <c r="B295" s="131" t="s">
        <v>1294</v>
      </c>
      <c r="C295" s="131" t="s">
        <v>2410</v>
      </c>
      <c r="D295" s="131" t="s">
        <v>3459</v>
      </c>
      <c r="E295" s="132">
        <v>274.8</v>
      </c>
      <c r="F295" s="132">
        <v>0</v>
      </c>
      <c r="G295" s="132">
        <f t="shared" si="76"/>
        <v>0</v>
      </c>
      <c r="H295" s="132">
        <f t="shared" si="77"/>
        <v>0</v>
      </c>
      <c r="I295" s="132">
        <f t="shared" si="78"/>
        <v>0</v>
      </c>
      <c r="J295" s="132">
        <v>0.0035</v>
      </c>
      <c r="K295" s="132">
        <f t="shared" si="79"/>
        <v>0.9618000000000001</v>
      </c>
      <c r="M295" s="133" t="s">
        <v>1101</v>
      </c>
      <c r="N295" s="132">
        <f t="shared" si="80"/>
        <v>0</v>
      </c>
      <c r="Y295" s="132">
        <f t="shared" si="81"/>
        <v>0</v>
      </c>
      <c r="Z295" s="132">
        <f t="shared" si="82"/>
        <v>0</v>
      </c>
      <c r="AA295" s="132">
        <f t="shared" si="83"/>
        <v>0</v>
      </c>
      <c r="AC295" s="125">
        <v>20</v>
      </c>
      <c r="AD295" s="125">
        <f>F295*1</f>
        <v>0</v>
      </c>
      <c r="AE295" s="125">
        <f>F295*(1-1)</f>
        <v>0</v>
      </c>
    </row>
    <row r="296" spans="1:31" s="90" customFormat="1" ht="11.25">
      <c r="A296" s="131" t="s">
        <v>212</v>
      </c>
      <c r="B296" s="131" t="s">
        <v>1295</v>
      </c>
      <c r="C296" s="131" t="s">
        <v>2411</v>
      </c>
      <c r="D296" s="131" t="s">
        <v>3459</v>
      </c>
      <c r="E296" s="132">
        <v>19.45</v>
      </c>
      <c r="F296" s="132">
        <v>0</v>
      </c>
      <c r="G296" s="132">
        <f t="shared" si="76"/>
        <v>0</v>
      </c>
      <c r="H296" s="132">
        <f t="shared" si="77"/>
        <v>0</v>
      </c>
      <c r="I296" s="132">
        <f t="shared" si="78"/>
        <v>0</v>
      </c>
      <c r="J296" s="132">
        <v>0.00075</v>
      </c>
      <c r="K296" s="132">
        <f t="shared" si="79"/>
        <v>0.0145875</v>
      </c>
      <c r="M296" s="133" t="s">
        <v>1101</v>
      </c>
      <c r="N296" s="132">
        <f t="shared" si="80"/>
        <v>0</v>
      </c>
      <c r="Y296" s="132">
        <f t="shared" si="81"/>
        <v>0</v>
      </c>
      <c r="Z296" s="132">
        <f t="shared" si="82"/>
        <v>0</v>
      </c>
      <c r="AA296" s="132">
        <f t="shared" si="83"/>
        <v>0</v>
      </c>
      <c r="AC296" s="125">
        <v>20</v>
      </c>
      <c r="AD296" s="125">
        <f>F296*1</f>
        <v>0</v>
      </c>
      <c r="AE296" s="125">
        <f>F296*(1-1)</f>
        <v>0</v>
      </c>
    </row>
    <row r="297" spans="1:31" s="90" customFormat="1" ht="11.25">
      <c r="A297" s="131" t="s">
        <v>213</v>
      </c>
      <c r="B297" s="131" t="s">
        <v>1296</v>
      </c>
      <c r="C297" s="131" t="s">
        <v>2412</v>
      </c>
      <c r="D297" s="131" t="s">
        <v>3459</v>
      </c>
      <c r="E297" s="132">
        <v>309.04</v>
      </c>
      <c r="F297" s="132">
        <v>0</v>
      </c>
      <c r="G297" s="132">
        <f t="shared" si="76"/>
        <v>0</v>
      </c>
      <c r="H297" s="132">
        <f t="shared" si="77"/>
        <v>0</v>
      </c>
      <c r="I297" s="132">
        <f t="shared" si="78"/>
        <v>0</v>
      </c>
      <c r="J297" s="132">
        <v>0.021</v>
      </c>
      <c r="K297" s="132">
        <f t="shared" si="79"/>
        <v>6.489840000000001</v>
      </c>
      <c r="M297" s="133" t="s">
        <v>1101</v>
      </c>
      <c r="N297" s="132">
        <f t="shared" si="80"/>
        <v>0</v>
      </c>
      <c r="Y297" s="132">
        <f t="shared" si="81"/>
        <v>0</v>
      </c>
      <c r="Z297" s="132">
        <f t="shared" si="82"/>
        <v>0</v>
      </c>
      <c r="AA297" s="132">
        <f t="shared" si="83"/>
        <v>0</v>
      </c>
      <c r="AC297" s="125">
        <v>20</v>
      </c>
      <c r="AD297" s="125">
        <f>F297*1</f>
        <v>0</v>
      </c>
      <c r="AE297" s="125">
        <f>F297*(1-1)</f>
        <v>0</v>
      </c>
    </row>
    <row r="298" spans="1:31" s="90" customFormat="1" ht="11.25">
      <c r="A298" s="122" t="s">
        <v>214</v>
      </c>
      <c r="B298" s="122" t="s">
        <v>1297</v>
      </c>
      <c r="C298" s="122" t="s">
        <v>2413</v>
      </c>
      <c r="D298" s="122" t="s">
        <v>3459</v>
      </c>
      <c r="E298" s="123">
        <v>637</v>
      </c>
      <c r="F298" s="123">
        <v>0</v>
      </c>
      <c r="G298" s="123">
        <f t="shared" si="76"/>
        <v>0</v>
      </c>
      <c r="H298" s="123">
        <f t="shared" si="77"/>
        <v>0</v>
      </c>
      <c r="I298" s="123">
        <f t="shared" si="78"/>
        <v>0</v>
      </c>
      <c r="J298" s="123">
        <v>0</v>
      </c>
      <c r="K298" s="123">
        <f t="shared" si="79"/>
        <v>0</v>
      </c>
      <c r="M298" s="124" t="s">
        <v>9</v>
      </c>
      <c r="N298" s="123">
        <f t="shared" si="80"/>
        <v>0</v>
      </c>
      <c r="Y298" s="123">
        <f t="shared" si="81"/>
        <v>0</v>
      </c>
      <c r="Z298" s="123">
        <f t="shared" si="82"/>
        <v>0</v>
      </c>
      <c r="AA298" s="123">
        <f t="shared" si="83"/>
        <v>0</v>
      </c>
      <c r="AC298" s="125">
        <v>20</v>
      </c>
      <c r="AD298" s="125">
        <f>F298*0</f>
        <v>0</v>
      </c>
      <c r="AE298" s="125">
        <f>F298*(1-0)</f>
        <v>0</v>
      </c>
    </row>
    <row r="299" spans="1:31" s="90" customFormat="1" ht="11.25">
      <c r="A299" s="122" t="s">
        <v>215</v>
      </c>
      <c r="B299" s="122" t="s">
        <v>1298</v>
      </c>
      <c r="C299" s="122" t="s">
        <v>2414</v>
      </c>
      <c r="D299" s="122" t="s">
        <v>3459</v>
      </c>
      <c r="E299" s="123">
        <v>81.4</v>
      </c>
      <c r="F299" s="123">
        <v>0</v>
      </c>
      <c r="G299" s="123">
        <f t="shared" si="76"/>
        <v>0</v>
      </c>
      <c r="H299" s="123">
        <f t="shared" si="77"/>
        <v>0</v>
      </c>
      <c r="I299" s="123">
        <f t="shared" si="78"/>
        <v>0</v>
      </c>
      <c r="J299" s="123">
        <v>0.00306</v>
      </c>
      <c r="K299" s="123">
        <f t="shared" si="79"/>
        <v>0.249084</v>
      </c>
      <c r="M299" s="124" t="s">
        <v>9</v>
      </c>
      <c r="N299" s="123">
        <f t="shared" si="80"/>
        <v>0</v>
      </c>
      <c r="Y299" s="123">
        <f t="shared" si="81"/>
        <v>0</v>
      </c>
      <c r="Z299" s="123">
        <f t="shared" si="82"/>
        <v>0</v>
      </c>
      <c r="AA299" s="123">
        <f t="shared" si="83"/>
        <v>0</v>
      </c>
      <c r="AC299" s="125">
        <v>20</v>
      </c>
      <c r="AD299" s="125">
        <f>F299*0.673546454847321</f>
        <v>0</v>
      </c>
      <c r="AE299" s="125">
        <f>F299*(1-0.673546454847321)</f>
        <v>0</v>
      </c>
    </row>
    <row r="300" s="90" customFormat="1" ht="11.25">
      <c r="C300" s="126" t="s">
        <v>2415</v>
      </c>
    </row>
    <row r="301" spans="1:31" s="90" customFormat="1" ht="11.25">
      <c r="A301" s="122" t="s">
        <v>216</v>
      </c>
      <c r="B301" s="122" t="s">
        <v>1299</v>
      </c>
      <c r="C301" s="122" t="s">
        <v>2416</v>
      </c>
      <c r="D301" s="122" t="s">
        <v>3459</v>
      </c>
      <c r="E301" s="123">
        <v>81.4</v>
      </c>
      <c r="F301" s="123">
        <v>0</v>
      </c>
      <c r="G301" s="123">
        <f>ROUND(E301*AD301,2)</f>
        <v>0</v>
      </c>
      <c r="H301" s="123">
        <f>I301-G301</f>
        <v>0</v>
      </c>
      <c r="I301" s="123">
        <f>ROUND(E301*F301,2)</f>
        <v>0</v>
      </c>
      <c r="J301" s="123">
        <v>0.00558</v>
      </c>
      <c r="K301" s="123">
        <f>E301*J301</f>
        <v>0.454212</v>
      </c>
      <c r="M301" s="124" t="s">
        <v>9</v>
      </c>
      <c r="N301" s="123">
        <f>IF(M301="5",H301,0)</f>
        <v>0</v>
      </c>
      <c r="Y301" s="123">
        <f>IF(AC301=0,I301,0)</f>
        <v>0</v>
      </c>
      <c r="Z301" s="123">
        <f>IF(AC301=14,I301,0)</f>
        <v>0</v>
      </c>
      <c r="AA301" s="123">
        <f>IF(AC301=20,I301,0)</f>
        <v>0</v>
      </c>
      <c r="AC301" s="125">
        <v>20</v>
      </c>
      <c r="AD301" s="125">
        <f>F301*0.79706044171972</f>
        <v>0</v>
      </c>
      <c r="AE301" s="125">
        <f>F301*(1-0.79706044171972)</f>
        <v>0</v>
      </c>
    </row>
    <row r="302" s="90" customFormat="1" ht="11.25">
      <c r="C302" s="126" t="s">
        <v>2417</v>
      </c>
    </row>
    <row r="303" spans="1:31" s="90" customFormat="1" ht="11.25">
      <c r="A303" s="122" t="s">
        <v>217</v>
      </c>
      <c r="B303" s="122" t="s">
        <v>1300</v>
      </c>
      <c r="C303" s="122" t="s">
        <v>2418</v>
      </c>
      <c r="D303" s="122" t="s">
        <v>3459</v>
      </c>
      <c r="E303" s="123">
        <v>294.32</v>
      </c>
      <c r="F303" s="123">
        <v>0</v>
      </c>
      <c r="G303" s="123">
        <f>ROUND(E303*AD303,2)</f>
        <v>0</v>
      </c>
      <c r="H303" s="123">
        <f>I303-G303</f>
        <v>0</v>
      </c>
      <c r="I303" s="123">
        <f>ROUND(E303*F303,2)</f>
        <v>0</v>
      </c>
      <c r="J303" s="123">
        <v>0.01125</v>
      </c>
      <c r="K303" s="123">
        <f>E303*J303</f>
        <v>3.3110999999999997</v>
      </c>
      <c r="M303" s="124" t="s">
        <v>9</v>
      </c>
      <c r="N303" s="123">
        <f>IF(M303="5",H303,0)</f>
        <v>0</v>
      </c>
      <c r="Y303" s="123">
        <f>IF(AC303=0,I303,0)</f>
        <v>0</v>
      </c>
      <c r="Z303" s="123">
        <f>IF(AC303=14,I303,0)</f>
        <v>0</v>
      </c>
      <c r="AA303" s="123">
        <f>IF(AC303=20,I303,0)</f>
        <v>0</v>
      </c>
      <c r="AC303" s="125">
        <v>20</v>
      </c>
      <c r="AD303" s="125">
        <f>F303*0.806096528365792</f>
        <v>0</v>
      </c>
      <c r="AE303" s="125">
        <f>F303*(1-0.806096528365792)</f>
        <v>0</v>
      </c>
    </row>
    <row r="304" spans="1:31" s="90" customFormat="1" ht="11.25">
      <c r="A304" s="122" t="s">
        <v>218</v>
      </c>
      <c r="B304" s="122" t="s">
        <v>1301</v>
      </c>
      <c r="C304" s="122" t="s">
        <v>2419</v>
      </c>
      <c r="D304" s="122" t="s">
        <v>3459</v>
      </c>
      <c r="E304" s="123">
        <v>129.67</v>
      </c>
      <c r="F304" s="123">
        <v>0</v>
      </c>
      <c r="G304" s="123">
        <f>ROUND(E304*AD304,2)</f>
        <v>0</v>
      </c>
      <c r="H304" s="123">
        <f>I304-G304</f>
        <v>0</v>
      </c>
      <c r="I304" s="123">
        <f>ROUND(E304*F304,2)</f>
        <v>0</v>
      </c>
      <c r="J304" s="123">
        <v>0.01839</v>
      </c>
      <c r="K304" s="123">
        <f>E304*J304</f>
        <v>2.3846312999999997</v>
      </c>
      <c r="M304" s="124" t="s">
        <v>9</v>
      </c>
      <c r="N304" s="123">
        <f>IF(M304="5",H304,0)</f>
        <v>0</v>
      </c>
      <c r="Y304" s="123">
        <f>IF(AC304=0,I304,0)</f>
        <v>0</v>
      </c>
      <c r="Z304" s="123">
        <f>IF(AC304=14,I304,0)</f>
        <v>0</v>
      </c>
      <c r="AA304" s="123">
        <f>IF(AC304=20,I304,0)</f>
        <v>0</v>
      </c>
      <c r="AC304" s="125">
        <v>20</v>
      </c>
      <c r="AD304" s="125">
        <f>F304*0.862230400149066</f>
        <v>0</v>
      </c>
      <c r="AE304" s="125">
        <f>F304*(1-0.862230400149066)</f>
        <v>0</v>
      </c>
    </row>
    <row r="305" s="90" customFormat="1" ht="11.25">
      <c r="C305" s="126" t="s">
        <v>2420</v>
      </c>
    </row>
    <row r="306" spans="1:31" s="90" customFormat="1" ht="11.25">
      <c r="A306" s="122" t="s">
        <v>219</v>
      </c>
      <c r="B306" s="122" t="s">
        <v>1302</v>
      </c>
      <c r="C306" s="122" t="s">
        <v>2421</v>
      </c>
      <c r="D306" s="122" t="s">
        <v>3459</v>
      </c>
      <c r="E306" s="123">
        <v>435.82</v>
      </c>
      <c r="F306" s="123">
        <v>0</v>
      </c>
      <c r="G306" s="123">
        <f>ROUND(E306*AD306,2)</f>
        <v>0</v>
      </c>
      <c r="H306" s="123">
        <f>I306-G306</f>
        <v>0</v>
      </c>
      <c r="I306" s="123">
        <f>ROUND(E306*F306,2)</f>
        <v>0</v>
      </c>
      <c r="J306" s="123">
        <v>0.02196</v>
      </c>
      <c r="K306" s="123">
        <f>E306*J306</f>
        <v>9.5706072</v>
      </c>
      <c r="M306" s="124" t="s">
        <v>9</v>
      </c>
      <c r="N306" s="123">
        <f>IF(M306="5",H306,0)</f>
        <v>0</v>
      </c>
      <c r="Y306" s="123">
        <f>IF(AC306=0,I306,0)</f>
        <v>0</v>
      </c>
      <c r="Z306" s="123">
        <f>IF(AC306=14,I306,0)</f>
        <v>0</v>
      </c>
      <c r="AA306" s="123">
        <f>IF(AC306=20,I306,0)</f>
        <v>0</v>
      </c>
      <c r="AC306" s="125">
        <v>20</v>
      </c>
      <c r="AD306" s="125">
        <f>F306*0.878075973560564</f>
        <v>0</v>
      </c>
      <c r="AE306" s="125">
        <f>F306*(1-0.878075973560564)</f>
        <v>0</v>
      </c>
    </row>
    <row r="307" s="90" customFormat="1" ht="11.25">
      <c r="C307" s="126" t="s">
        <v>2422</v>
      </c>
    </row>
    <row r="308" spans="1:31" s="90" customFormat="1" ht="11.25">
      <c r="A308" s="122" t="s">
        <v>220</v>
      </c>
      <c r="B308" s="122" t="s">
        <v>1303</v>
      </c>
      <c r="C308" s="122" t="s">
        <v>2423</v>
      </c>
      <c r="D308" s="122" t="s">
        <v>3459</v>
      </c>
      <c r="E308" s="123">
        <v>74.81</v>
      </c>
      <c r="F308" s="123">
        <v>0</v>
      </c>
      <c r="G308" s="123">
        <f>ROUND(E308*AD308,2)</f>
        <v>0</v>
      </c>
      <c r="H308" s="123">
        <f>I308-G308</f>
        <v>0</v>
      </c>
      <c r="I308" s="123">
        <f>ROUND(E308*F308,2)</f>
        <v>0</v>
      </c>
      <c r="J308" s="123">
        <v>0</v>
      </c>
      <c r="K308" s="123">
        <f>E308*J308</f>
        <v>0</v>
      </c>
      <c r="M308" s="124" t="s">
        <v>7</v>
      </c>
      <c r="N308" s="123">
        <f>IF(M308="5",H308,0)</f>
        <v>0</v>
      </c>
      <c r="Y308" s="123">
        <f>IF(AC308=0,I308,0)</f>
        <v>0</v>
      </c>
      <c r="Z308" s="123">
        <f>IF(AC308=14,I308,0)</f>
        <v>0</v>
      </c>
      <c r="AA308" s="123">
        <f>IF(AC308=20,I308,0)</f>
        <v>0</v>
      </c>
      <c r="AC308" s="125">
        <v>20</v>
      </c>
      <c r="AD308" s="125">
        <f>F308*0</f>
        <v>0</v>
      </c>
      <c r="AE308" s="125">
        <f>F308*(1-0)</f>
        <v>0</v>
      </c>
    </row>
    <row r="309" s="90" customFormat="1" ht="11.25">
      <c r="C309" s="126" t="s">
        <v>2424</v>
      </c>
    </row>
    <row r="310" spans="1:31" s="90" customFormat="1" ht="11.25">
      <c r="A310" s="122" t="s">
        <v>221</v>
      </c>
      <c r="B310" s="122" t="s">
        <v>1304</v>
      </c>
      <c r="C310" s="122" t="s">
        <v>2425</v>
      </c>
      <c r="D310" s="122" t="s">
        <v>3459</v>
      </c>
      <c r="E310" s="123">
        <v>81.4</v>
      </c>
      <c r="F310" s="123">
        <v>0</v>
      </c>
      <c r="G310" s="123">
        <f>ROUND(E310*AD310,2)</f>
        <v>0</v>
      </c>
      <c r="H310" s="123">
        <f>I310-G310</f>
        <v>0</v>
      </c>
      <c r="I310" s="123">
        <f>ROUND(E310*F310,2)</f>
        <v>0</v>
      </c>
      <c r="J310" s="123">
        <v>0.00014</v>
      </c>
      <c r="K310" s="123">
        <f>E310*J310</f>
        <v>0.011396</v>
      </c>
      <c r="M310" s="124" t="s">
        <v>7</v>
      </c>
      <c r="N310" s="123">
        <f>IF(M310="5",H310,0)</f>
        <v>0</v>
      </c>
      <c r="Y310" s="123">
        <f>IF(AC310=0,I310,0)</f>
        <v>0</v>
      </c>
      <c r="Z310" s="123">
        <f>IF(AC310=14,I310,0)</f>
        <v>0</v>
      </c>
      <c r="AA310" s="123">
        <f>IF(AC310=20,I310,0)</f>
        <v>0</v>
      </c>
      <c r="AC310" s="125">
        <v>20</v>
      </c>
      <c r="AD310" s="125">
        <f>F310*0.334879003043037</f>
        <v>0</v>
      </c>
      <c r="AE310" s="125">
        <f>F310*(1-0.334879003043037)</f>
        <v>0</v>
      </c>
    </row>
    <row r="311" s="90" customFormat="1" ht="11.25">
      <c r="C311" s="126" t="s">
        <v>2426</v>
      </c>
    </row>
    <row r="312" spans="1:31" s="90" customFormat="1" ht="11.25">
      <c r="A312" s="122" t="s">
        <v>222</v>
      </c>
      <c r="B312" s="122" t="s">
        <v>1305</v>
      </c>
      <c r="C312" s="122" t="s">
        <v>2427</v>
      </c>
      <c r="D312" s="122" t="s">
        <v>3459</v>
      </c>
      <c r="E312" s="123">
        <v>475.75</v>
      </c>
      <c r="F312" s="123">
        <v>0</v>
      </c>
      <c r="G312" s="123">
        <f>ROUND(E312*AD312,2)</f>
        <v>0</v>
      </c>
      <c r="H312" s="123">
        <f>I312-G312</f>
        <v>0</v>
      </c>
      <c r="I312" s="123">
        <f>ROUND(E312*F312,2)</f>
        <v>0</v>
      </c>
      <c r="J312" s="123">
        <v>0.0002</v>
      </c>
      <c r="K312" s="123">
        <f>E312*J312</f>
        <v>0.09515</v>
      </c>
      <c r="M312" s="124" t="s">
        <v>7</v>
      </c>
      <c r="N312" s="123">
        <f>IF(M312="5",H312,0)</f>
        <v>0</v>
      </c>
      <c r="Y312" s="123">
        <f>IF(AC312=0,I312,0)</f>
        <v>0</v>
      </c>
      <c r="Z312" s="123">
        <f>IF(AC312=14,I312,0)</f>
        <v>0</v>
      </c>
      <c r="AA312" s="123">
        <f>IF(AC312=20,I312,0)</f>
        <v>0</v>
      </c>
      <c r="AC312" s="125">
        <v>20</v>
      </c>
      <c r="AD312" s="125">
        <f>F312*0.444308278867102</f>
        <v>0</v>
      </c>
      <c r="AE312" s="125">
        <f>F312*(1-0.444308278867102)</f>
        <v>0</v>
      </c>
    </row>
    <row r="313" s="90" customFormat="1" ht="11.25">
      <c r="C313" s="126" t="s">
        <v>2428</v>
      </c>
    </row>
    <row r="314" spans="1:31" s="90" customFormat="1" ht="11.25">
      <c r="A314" s="122" t="s">
        <v>223</v>
      </c>
      <c r="B314" s="122" t="s">
        <v>1306</v>
      </c>
      <c r="C314" s="122" t="s">
        <v>2429</v>
      </c>
      <c r="D314" s="122" t="s">
        <v>3459</v>
      </c>
      <c r="E314" s="123">
        <v>332.66</v>
      </c>
      <c r="F314" s="123">
        <v>0</v>
      </c>
      <c r="G314" s="123">
        <f>ROUND(E314*AD314,2)</f>
        <v>0</v>
      </c>
      <c r="H314" s="123">
        <f>I314-G314</f>
        <v>0</v>
      </c>
      <c r="I314" s="123">
        <f>ROUND(E314*F314,2)</f>
        <v>0</v>
      </c>
      <c r="J314" s="123">
        <v>0.0003</v>
      </c>
      <c r="K314" s="123">
        <f>E314*J314</f>
        <v>0.099798</v>
      </c>
      <c r="M314" s="124" t="s">
        <v>9</v>
      </c>
      <c r="N314" s="123">
        <f>IF(M314="5",H314,0)</f>
        <v>0</v>
      </c>
      <c r="Y314" s="123">
        <f>IF(AC314=0,I314,0)</f>
        <v>0</v>
      </c>
      <c r="Z314" s="123">
        <f>IF(AC314=14,I314,0)</f>
        <v>0</v>
      </c>
      <c r="AA314" s="123">
        <f>IF(AC314=20,I314,0)</f>
        <v>0</v>
      </c>
      <c r="AC314" s="125">
        <v>20</v>
      </c>
      <c r="AD314" s="125">
        <f>F314*0.237205731832139</f>
        <v>0</v>
      </c>
      <c r="AE314" s="125">
        <f>F314*(1-0.237205731832139)</f>
        <v>0</v>
      </c>
    </row>
    <row r="315" s="90" customFormat="1" ht="11.25">
      <c r="C315" s="126" t="s">
        <v>2430</v>
      </c>
    </row>
    <row r="316" spans="1:31" s="90" customFormat="1" ht="11.25">
      <c r="A316" s="122" t="s">
        <v>224</v>
      </c>
      <c r="B316" s="122" t="s">
        <v>1307</v>
      </c>
      <c r="C316" s="122" t="s">
        <v>2431</v>
      </c>
      <c r="D316" s="122" t="s">
        <v>3459</v>
      </c>
      <c r="E316" s="123">
        <v>171.68</v>
      </c>
      <c r="F316" s="123">
        <v>0</v>
      </c>
      <c r="G316" s="123">
        <f>ROUND(E316*AD316,2)</f>
        <v>0</v>
      </c>
      <c r="H316" s="123">
        <f>I316-G316</f>
        <v>0</v>
      </c>
      <c r="I316" s="123">
        <f>ROUND(E316*F316,2)</f>
        <v>0</v>
      </c>
      <c r="J316" s="123">
        <v>0.00164</v>
      </c>
      <c r="K316" s="123">
        <f>E316*J316</f>
        <v>0.2815552</v>
      </c>
      <c r="M316" s="124" t="s">
        <v>7</v>
      </c>
      <c r="N316" s="123">
        <f>IF(M316="5",H316,0)</f>
        <v>0</v>
      </c>
      <c r="Y316" s="123">
        <f>IF(AC316=0,I316,0)</f>
        <v>0</v>
      </c>
      <c r="Z316" s="123">
        <f>IF(AC316=14,I316,0)</f>
        <v>0</v>
      </c>
      <c r="AA316" s="123">
        <f>IF(AC316=20,I316,0)</f>
        <v>0</v>
      </c>
      <c r="AC316" s="125">
        <v>20</v>
      </c>
      <c r="AD316" s="125">
        <f>F316*0.634764826175869</f>
        <v>0</v>
      </c>
      <c r="AE316" s="125">
        <f>F316*(1-0.634764826175869)</f>
        <v>0</v>
      </c>
    </row>
    <row r="317" spans="1:31" s="90" customFormat="1" ht="11.25">
      <c r="A317" s="122" t="s">
        <v>225</v>
      </c>
      <c r="B317" s="122" t="s">
        <v>1308</v>
      </c>
      <c r="C317" s="122" t="s">
        <v>2432</v>
      </c>
      <c r="D317" s="122" t="s">
        <v>3459</v>
      </c>
      <c r="E317" s="123">
        <v>637</v>
      </c>
      <c r="F317" s="123">
        <v>0</v>
      </c>
      <c r="G317" s="123">
        <f>ROUND(E317*AD317,2)</f>
        <v>0</v>
      </c>
      <c r="H317" s="123">
        <f>I317-G317</f>
        <v>0</v>
      </c>
      <c r="I317" s="123">
        <f>ROUND(E317*F317,2)</f>
        <v>0</v>
      </c>
      <c r="J317" s="123">
        <v>0.00149</v>
      </c>
      <c r="K317" s="123">
        <f>E317*J317</f>
        <v>0.94913</v>
      </c>
      <c r="M317" s="124" t="s">
        <v>7</v>
      </c>
      <c r="N317" s="123">
        <f>IF(M317="5",H317,0)</f>
        <v>0</v>
      </c>
      <c r="Y317" s="123">
        <f>IF(AC317=0,I317,0)</f>
        <v>0</v>
      </c>
      <c r="Z317" s="123">
        <f>IF(AC317=14,I317,0)</f>
        <v>0</v>
      </c>
      <c r="AA317" s="123">
        <f>IF(AC317=20,I317,0)</f>
        <v>0</v>
      </c>
      <c r="AC317" s="125">
        <v>20</v>
      </c>
      <c r="AD317" s="125">
        <f>F317*0.631752577319588</f>
        <v>0</v>
      </c>
      <c r="AE317" s="125">
        <f>F317*(1-0.631752577319588)</f>
        <v>0</v>
      </c>
    </row>
    <row r="318" spans="1:31" s="90" customFormat="1" ht="11.25">
      <c r="A318" s="122" t="s">
        <v>226</v>
      </c>
      <c r="B318" s="122" t="s">
        <v>1309</v>
      </c>
      <c r="C318" s="122" t="s">
        <v>2433</v>
      </c>
      <c r="D318" s="122" t="s">
        <v>3460</v>
      </c>
      <c r="E318" s="123">
        <v>26.51591</v>
      </c>
      <c r="F318" s="123">
        <v>0</v>
      </c>
      <c r="G318" s="123">
        <f>ROUND(E318*AD318,2)</f>
        <v>0</v>
      </c>
      <c r="H318" s="123">
        <f>I318-G318</f>
        <v>0</v>
      </c>
      <c r="I318" s="123">
        <f>ROUND(E318*F318,2)</f>
        <v>0</v>
      </c>
      <c r="J318" s="123">
        <v>0</v>
      </c>
      <c r="K318" s="123">
        <f>E318*J318</f>
        <v>0</v>
      </c>
      <c r="M318" s="124" t="s">
        <v>11</v>
      </c>
      <c r="N318" s="123">
        <f>IF(M318="5",H318,0)</f>
        <v>0</v>
      </c>
      <c r="Y318" s="123">
        <f>IF(AC318=0,I318,0)</f>
        <v>0</v>
      </c>
      <c r="Z318" s="123">
        <f>IF(AC318=14,I318,0)</f>
        <v>0</v>
      </c>
      <c r="AA318" s="123">
        <f>IF(AC318=20,I318,0)</f>
        <v>0</v>
      </c>
      <c r="AC318" s="125">
        <v>20</v>
      </c>
      <c r="AD318" s="125">
        <f>F318*0</f>
        <v>0</v>
      </c>
      <c r="AE318" s="125">
        <f>F318*(1-0)</f>
        <v>0</v>
      </c>
    </row>
    <row r="319" spans="1:36" s="90" customFormat="1" ht="11.25">
      <c r="A319" s="127"/>
      <c r="B319" s="128" t="s">
        <v>727</v>
      </c>
      <c r="C319" s="129" t="s">
        <v>2434</v>
      </c>
      <c r="D319" s="130"/>
      <c r="E319" s="130"/>
      <c r="F319" s="130"/>
      <c r="G319" s="121">
        <f>SUM(G320:G339)</f>
        <v>0</v>
      </c>
      <c r="H319" s="121">
        <f>SUM(H320:H339)</f>
        <v>0</v>
      </c>
      <c r="I319" s="121">
        <f>G319+H319</f>
        <v>0</v>
      </c>
      <c r="J319" s="114"/>
      <c r="K319" s="121">
        <f>SUM(K320:K339)</f>
        <v>0.7793</v>
      </c>
      <c r="O319" s="121">
        <f>IF(P319="PR",I319,SUM(N320:N339))</f>
        <v>0</v>
      </c>
      <c r="P319" s="114" t="s">
        <v>3490</v>
      </c>
      <c r="Q319" s="121">
        <f>IF(P319="HS",G319,0)</f>
        <v>0</v>
      </c>
      <c r="R319" s="121">
        <f>IF(P319="HS",H319-O319,0)</f>
        <v>0</v>
      </c>
      <c r="S319" s="121">
        <f>IF(P319="PS",G319,0)</f>
        <v>0</v>
      </c>
      <c r="T319" s="121">
        <f>IF(P319="PS",H319-O319,0)</f>
        <v>0</v>
      </c>
      <c r="U319" s="121">
        <f>IF(P319="MP",G319,0)</f>
        <v>0</v>
      </c>
      <c r="V319" s="121">
        <f>IF(P319="MP",H319-O319,0)</f>
        <v>0</v>
      </c>
      <c r="W319" s="121">
        <f>IF(P319="OM",G319,0)</f>
        <v>0</v>
      </c>
      <c r="X319" s="114"/>
      <c r="AH319" s="121">
        <f>SUM(Y320:Y339)</f>
        <v>0</v>
      </c>
      <c r="AI319" s="121">
        <f>SUM(Z320:Z339)</f>
        <v>0</v>
      </c>
      <c r="AJ319" s="121">
        <f>SUM(AA320:AA339)</f>
        <v>0</v>
      </c>
    </row>
    <row r="320" spans="1:31" s="90" customFormat="1" ht="11.25">
      <c r="A320" s="122" t="s">
        <v>227</v>
      </c>
      <c r="B320" s="122" t="s">
        <v>1310</v>
      </c>
      <c r="C320" s="122" t="s">
        <v>2435</v>
      </c>
      <c r="D320" s="122" t="s">
        <v>3455</v>
      </c>
      <c r="E320" s="123">
        <v>25</v>
      </c>
      <c r="F320" s="123">
        <v>0</v>
      </c>
      <c r="G320" s="123">
        <f aca="true" t="shared" si="84" ref="G320:G327">ROUND(E320*AD320,2)</f>
        <v>0</v>
      </c>
      <c r="H320" s="123">
        <f aca="true" t="shared" si="85" ref="H320:H327">I320-G320</f>
        <v>0</v>
      </c>
      <c r="I320" s="123">
        <f aca="true" t="shared" si="86" ref="I320:I327">ROUND(E320*F320,2)</f>
        <v>0</v>
      </c>
      <c r="J320" s="123">
        <v>0.00049</v>
      </c>
      <c r="K320" s="123">
        <f aca="true" t="shared" si="87" ref="K320:K327">E320*J320</f>
        <v>0.01225</v>
      </c>
      <c r="M320" s="124" t="s">
        <v>7</v>
      </c>
      <c r="N320" s="123">
        <f aca="true" t="shared" si="88" ref="N320:N327">IF(M320="5",H320,0)</f>
        <v>0</v>
      </c>
      <c r="Y320" s="123">
        <f aca="true" t="shared" si="89" ref="Y320:Y327">IF(AC320=0,I320,0)</f>
        <v>0</v>
      </c>
      <c r="Z320" s="123">
        <f aca="true" t="shared" si="90" ref="Z320:Z327">IF(AC320=14,I320,0)</f>
        <v>0</v>
      </c>
      <c r="AA320" s="123">
        <f aca="true" t="shared" si="91" ref="AA320:AA327">IF(AC320=20,I320,0)</f>
        <v>0</v>
      </c>
      <c r="AC320" s="125">
        <v>20</v>
      </c>
      <c r="AD320" s="125">
        <f>F320*0.636312570215953</f>
        <v>0</v>
      </c>
      <c r="AE320" s="125">
        <f>F320*(1-0.636312570215953)</f>
        <v>0</v>
      </c>
    </row>
    <row r="321" spans="1:31" s="90" customFormat="1" ht="11.25">
      <c r="A321" s="122" t="s">
        <v>228</v>
      </c>
      <c r="B321" s="122" t="s">
        <v>1311</v>
      </c>
      <c r="C321" s="122" t="s">
        <v>2436</v>
      </c>
      <c r="D321" s="122" t="s">
        <v>3455</v>
      </c>
      <c r="E321" s="123">
        <v>10</v>
      </c>
      <c r="F321" s="123">
        <v>0</v>
      </c>
      <c r="G321" s="123">
        <f t="shared" si="84"/>
        <v>0</v>
      </c>
      <c r="H321" s="123">
        <f t="shared" si="85"/>
        <v>0</v>
      </c>
      <c r="I321" s="123">
        <f t="shared" si="86"/>
        <v>0</v>
      </c>
      <c r="J321" s="123">
        <v>0.00066</v>
      </c>
      <c r="K321" s="123">
        <f t="shared" si="87"/>
        <v>0.0066</v>
      </c>
      <c r="M321" s="124" t="s">
        <v>7</v>
      </c>
      <c r="N321" s="123">
        <f t="shared" si="88"/>
        <v>0</v>
      </c>
      <c r="Y321" s="123">
        <f t="shared" si="89"/>
        <v>0</v>
      </c>
      <c r="Z321" s="123">
        <f t="shared" si="90"/>
        <v>0</v>
      </c>
      <c r="AA321" s="123">
        <f t="shared" si="91"/>
        <v>0</v>
      </c>
      <c r="AC321" s="125">
        <v>20</v>
      </c>
      <c r="AD321" s="125">
        <f>F321*0.592566790901808</f>
        <v>0</v>
      </c>
      <c r="AE321" s="125">
        <f>F321*(1-0.592566790901808)</f>
        <v>0</v>
      </c>
    </row>
    <row r="322" spans="1:31" s="90" customFormat="1" ht="11.25">
      <c r="A322" s="122" t="s">
        <v>229</v>
      </c>
      <c r="B322" s="122" t="s">
        <v>1312</v>
      </c>
      <c r="C322" s="122" t="s">
        <v>2437</v>
      </c>
      <c r="D322" s="122" t="s">
        <v>3455</v>
      </c>
      <c r="E322" s="123">
        <v>58</v>
      </c>
      <c r="F322" s="123">
        <v>0</v>
      </c>
      <c r="G322" s="123">
        <f t="shared" si="84"/>
        <v>0</v>
      </c>
      <c r="H322" s="123">
        <f t="shared" si="85"/>
        <v>0</v>
      </c>
      <c r="I322" s="123">
        <f t="shared" si="86"/>
        <v>0</v>
      </c>
      <c r="J322" s="123">
        <v>0.00078</v>
      </c>
      <c r="K322" s="123">
        <f t="shared" si="87"/>
        <v>0.04524</v>
      </c>
      <c r="M322" s="124" t="s">
        <v>7</v>
      </c>
      <c r="N322" s="123">
        <f t="shared" si="88"/>
        <v>0</v>
      </c>
      <c r="Y322" s="123">
        <f t="shared" si="89"/>
        <v>0</v>
      </c>
      <c r="Z322" s="123">
        <f t="shared" si="90"/>
        <v>0</v>
      </c>
      <c r="AA322" s="123">
        <f t="shared" si="91"/>
        <v>0</v>
      </c>
      <c r="AC322" s="125">
        <v>20</v>
      </c>
      <c r="AD322" s="125">
        <f>F322*0.327490394080848</f>
        <v>0</v>
      </c>
      <c r="AE322" s="125">
        <f>F322*(1-0.327490394080848)</f>
        <v>0</v>
      </c>
    </row>
    <row r="323" spans="1:31" s="90" customFormat="1" ht="11.25">
      <c r="A323" s="122" t="s">
        <v>230</v>
      </c>
      <c r="B323" s="122" t="s">
        <v>1313</v>
      </c>
      <c r="C323" s="122" t="s">
        <v>2438</v>
      </c>
      <c r="D323" s="122" t="s">
        <v>3455</v>
      </c>
      <c r="E323" s="123">
        <v>86</v>
      </c>
      <c r="F323" s="123">
        <v>0</v>
      </c>
      <c r="G323" s="123">
        <f t="shared" si="84"/>
        <v>0</v>
      </c>
      <c r="H323" s="123">
        <f t="shared" si="85"/>
        <v>0</v>
      </c>
      <c r="I323" s="123">
        <f t="shared" si="86"/>
        <v>0</v>
      </c>
      <c r="J323" s="123">
        <v>0.00131</v>
      </c>
      <c r="K323" s="123">
        <f t="shared" si="87"/>
        <v>0.11266</v>
      </c>
      <c r="M323" s="124" t="s">
        <v>7</v>
      </c>
      <c r="N323" s="123">
        <f t="shared" si="88"/>
        <v>0</v>
      </c>
      <c r="Y323" s="123">
        <f t="shared" si="89"/>
        <v>0</v>
      </c>
      <c r="Z323" s="123">
        <f t="shared" si="90"/>
        <v>0</v>
      </c>
      <c r="AA323" s="123">
        <f t="shared" si="91"/>
        <v>0</v>
      </c>
      <c r="AC323" s="125">
        <v>20</v>
      </c>
      <c r="AD323" s="125">
        <f>F323*0.397039030955585</f>
        <v>0</v>
      </c>
      <c r="AE323" s="125">
        <f>F323*(1-0.397039030955585)</f>
        <v>0</v>
      </c>
    </row>
    <row r="324" spans="1:31" s="90" customFormat="1" ht="11.25">
      <c r="A324" s="122" t="s">
        <v>231</v>
      </c>
      <c r="B324" s="122" t="s">
        <v>1314</v>
      </c>
      <c r="C324" s="122" t="s">
        <v>2439</v>
      </c>
      <c r="D324" s="122" t="s">
        <v>3456</v>
      </c>
      <c r="E324" s="123">
        <v>13</v>
      </c>
      <c r="F324" s="123">
        <v>0</v>
      </c>
      <c r="G324" s="123">
        <f t="shared" si="84"/>
        <v>0</v>
      </c>
      <c r="H324" s="123">
        <f t="shared" si="85"/>
        <v>0</v>
      </c>
      <c r="I324" s="123">
        <f t="shared" si="86"/>
        <v>0</v>
      </c>
      <c r="J324" s="123">
        <v>0</v>
      </c>
      <c r="K324" s="123">
        <f t="shared" si="87"/>
        <v>0</v>
      </c>
      <c r="M324" s="124" t="s">
        <v>7</v>
      </c>
      <c r="N324" s="123">
        <f t="shared" si="88"/>
        <v>0</v>
      </c>
      <c r="Y324" s="123">
        <f t="shared" si="89"/>
        <v>0</v>
      </c>
      <c r="Z324" s="123">
        <f t="shared" si="90"/>
        <v>0</v>
      </c>
      <c r="AA324" s="123">
        <f t="shared" si="91"/>
        <v>0</v>
      </c>
      <c r="AC324" s="125">
        <v>20</v>
      </c>
      <c r="AD324" s="125">
        <f>F324*0</f>
        <v>0</v>
      </c>
      <c r="AE324" s="125">
        <f>F324*(1-0)</f>
        <v>0</v>
      </c>
    </row>
    <row r="325" spans="1:31" s="90" customFormat="1" ht="11.25">
      <c r="A325" s="122" t="s">
        <v>232</v>
      </c>
      <c r="B325" s="122" t="s">
        <v>1315</v>
      </c>
      <c r="C325" s="122" t="s">
        <v>2440</v>
      </c>
      <c r="D325" s="122" t="s">
        <v>3456</v>
      </c>
      <c r="E325" s="123">
        <v>8</v>
      </c>
      <c r="F325" s="123">
        <v>0</v>
      </c>
      <c r="G325" s="123">
        <f t="shared" si="84"/>
        <v>0</v>
      </c>
      <c r="H325" s="123">
        <f t="shared" si="85"/>
        <v>0</v>
      </c>
      <c r="I325" s="123">
        <f t="shared" si="86"/>
        <v>0</v>
      </c>
      <c r="J325" s="123">
        <v>0</v>
      </c>
      <c r="K325" s="123">
        <f t="shared" si="87"/>
        <v>0</v>
      </c>
      <c r="M325" s="124" t="s">
        <v>7</v>
      </c>
      <c r="N325" s="123">
        <f t="shared" si="88"/>
        <v>0</v>
      </c>
      <c r="Y325" s="123">
        <f t="shared" si="89"/>
        <v>0</v>
      </c>
      <c r="Z325" s="123">
        <f t="shared" si="90"/>
        <v>0</v>
      </c>
      <c r="AA325" s="123">
        <f t="shared" si="91"/>
        <v>0</v>
      </c>
      <c r="AC325" s="125">
        <v>20</v>
      </c>
      <c r="AD325" s="125">
        <f>F325*0</f>
        <v>0</v>
      </c>
      <c r="AE325" s="125">
        <f>F325*(1-0)</f>
        <v>0</v>
      </c>
    </row>
    <row r="326" spans="1:31" s="90" customFormat="1" ht="11.25">
      <c r="A326" s="122" t="s">
        <v>233</v>
      </c>
      <c r="B326" s="122" t="s">
        <v>1316</v>
      </c>
      <c r="C326" s="122" t="s">
        <v>2441</v>
      </c>
      <c r="D326" s="122" t="s">
        <v>3456</v>
      </c>
      <c r="E326" s="123">
        <v>10</v>
      </c>
      <c r="F326" s="123">
        <v>0</v>
      </c>
      <c r="G326" s="123">
        <f t="shared" si="84"/>
        <v>0</v>
      </c>
      <c r="H326" s="123">
        <f t="shared" si="85"/>
        <v>0</v>
      </c>
      <c r="I326" s="123">
        <f t="shared" si="86"/>
        <v>0</v>
      </c>
      <c r="J326" s="123">
        <v>0</v>
      </c>
      <c r="K326" s="123">
        <f t="shared" si="87"/>
        <v>0</v>
      </c>
      <c r="M326" s="124" t="s">
        <v>7</v>
      </c>
      <c r="N326" s="123">
        <f t="shared" si="88"/>
        <v>0</v>
      </c>
      <c r="Y326" s="123">
        <f t="shared" si="89"/>
        <v>0</v>
      </c>
      <c r="Z326" s="123">
        <f t="shared" si="90"/>
        <v>0</v>
      </c>
      <c r="AA326" s="123">
        <f t="shared" si="91"/>
        <v>0</v>
      </c>
      <c r="AC326" s="125">
        <v>20</v>
      </c>
      <c r="AD326" s="125">
        <f>F326*0</f>
        <v>0</v>
      </c>
      <c r="AE326" s="125">
        <f>F326*(1-0)</f>
        <v>0</v>
      </c>
    </row>
    <row r="327" spans="1:31" s="90" customFormat="1" ht="11.25">
      <c r="A327" s="122" t="s">
        <v>234</v>
      </c>
      <c r="B327" s="122" t="s">
        <v>1317</v>
      </c>
      <c r="C327" s="122" t="s">
        <v>2442</v>
      </c>
      <c r="D327" s="122" t="s">
        <v>3456</v>
      </c>
      <c r="E327" s="123">
        <v>5</v>
      </c>
      <c r="F327" s="123">
        <v>0</v>
      </c>
      <c r="G327" s="123">
        <f t="shared" si="84"/>
        <v>0</v>
      </c>
      <c r="H327" s="123">
        <f t="shared" si="85"/>
        <v>0</v>
      </c>
      <c r="I327" s="123">
        <f t="shared" si="86"/>
        <v>0</v>
      </c>
      <c r="J327" s="123">
        <v>0.00124</v>
      </c>
      <c r="K327" s="123">
        <f t="shared" si="87"/>
        <v>0.0062</v>
      </c>
      <c r="M327" s="124" t="s">
        <v>7</v>
      </c>
      <c r="N327" s="123">
        <f t="shared" si="88"/>
        <v>0</v>
      </c>
      <c r="Y327" s="123">
        <f t="shared" si="89"/>
        <v>0</v>
      </c>
      <c r="Z327" s="123">
        <f t="shared" si="90"/>
        <v>0</v>
      </c>
      <c r="AA327" s="123">
        <f t="shared" si="91"/>
        <v>0</v>
      </c>
      <c r="AC327" s="125">
        <v>20</v>
      </c>
      <c r="AD327" s="125">
        <f>F327*0.957739659327686</f>
        <v>0</v>
      </c>
      <c r="AE327" s="125">
        <f>F327*(1-0.957739659327686)</f>
        <v>0</v>
      </c>
    </row>
    <row r="328" s="90" customFormat="1" ht="11.25">
      <c r="C328" s="126" t="s">
        <v>2443</v>
      </c>
    </row>
    <row r="329" spans="1:31" s="90" customFormat="1" ht="11.25">
      <c r="A329" s="122" t="s">
        <v>235</v>
      </c>
      <c r="B329" s="122" t="s">
        <v>1318</v>
      </c>
      <c r="C329" s="122" t="s">
        <v>2444</v>
      </c>
      <c r="D329" s="122" t="s">
        <v>3456</v>
      </c>
      <c r="E329" s="123">
        <v>3</v>
      </c>
      <c r="F329" s="123">
        <v>0</v>
      </c>
      <c r="G329" s="123">
        <f>ROUND(E329*AD329,2)</f>
        <v>0</v>
      </c>
      <c r="H329" s="123">
        <f>I329-G329</f>
        <v>0</v>
      </c>
      <c r="I329" s="123">
        <f>ROUND(E329*F329,2)</f>
        <v>0</v>
      </c>
      <c r="J329" s="123">
        <v>0.00117</v>
      </c>
      <c r="K329" s="123">
        <f>E329*J329</f>
        <v>0.00351</v>
      </c>
      <c r="M329" s="124" t="s">
        <v>7</v>
      </c>
      <c r="N329" s="123">
        <f>IF(M329="5",H329,0)</f>
        <v>0</v>
      </c>
      <c r="Y329" s="123">
        <f>IF(AC329=0,I329,0)</f>
        <v>0</v>
      </c>
      <c r="Z329" s="123">
        <f>IF(AC329=14,I329,0)</f>
        <v>0</v>
      </c>
      <c r="AA329" s="123">
        <f>IF(AC329=20,I329,0)</f>
        <v>0</v>
      </c>
      <c r="AC329" s="125">
        <v>20</v>
      </c>
      <c r="AD329" s="125">
        <f>F329*0.976728579848164</f>
        <v>0</v>
      </c>
      <c r="AE329" s="125">
        <f>F329*(1-0.976728579848164)</f>
        <v>0</v>
      </c>
    </row>
    <row r="330" s="90" customFormat="1" ht="11.25">
      <c r="C330" s="126" t="s">
        <v>2445</v>
      </c>
    </row>
    <row r="331" spans="1:31" s="90" customFormat="1" ht="11.25">
      <c r="A331" s="122" t="s">
        <v>236</v>
      </c>
      <c r="B331" s="122" t="s">
        <v>1319</v>
      </c>
      <c r="C331" s="122" t="s">
        <v>2446</v>
      </c>
      <c r="D331" s="122" t="s">
        <v>3456</v>
      </c>
      <c r="E331" s="123">
        <v>8</v>
      </c>
      <c r="F331" s="123">
        <v>0</v>
      </c>
      <c r="G331" s="123">
        <f>ROUND(E331*AD331,2)</f>
        <v>0</v>
      </c>
      <c r="H331" s="123">
        <f>I331-G331</f>
        <v>0</v>
      </c>
      <c r="I331" s="123">
        <f>ROUND(E331*F331,2)</f>
        <v>0</v>
      </c>
      <c r="J331" s="123">
        <v>0.07382</v>
      </c>
      <c r="K331" s="123">
        <f>E331*J331</f>
        <v>0.59056</v>
      </c>
      <c r="M331" s="124" t="s">
        <v>7</v>
      </c>
      <c r="N331" s="123">
        <f>IF(M331="5",H331,0)</f>
        <v>0</v>
      </c>
      <c r="Y331" s="123">
        <f>IF(AC331=0,I331,0)</f>
        <v>0</v>
      </c>
      <c r="Z331" s="123">
        <f>IF(AC331=14,I331,0)</f>
        <v>0</v>
      </c>
      <c r="AA331" s="123">
        <f>IF(AC331=20,I331,0)</f>
        <v>0</v>
      </c>
      <c r="AC331" s="125">
        <v>20</v>
      </c>
      <c r="AD331" s="125">
        <f>F331*0.938957463059529</f>
        <v>0</v>
      </c>
      <c r="AE331" s="125">
        <f>F331*(1-0.938957463059529)</f>
        <v>0</v>
      </c>
    </row>
    <row r="332" s="90" customFormat="1" ht="11.25">
      <c r="C332" s="126" t="s">
        <v>2447</v>
      </c>
    </row>
    <row r="333" spans="1:31" s="90" customFormat="1" ht="11.25">
      <c r="A333" s="122" t="s">
        <v>237</v>
      </c>
      <c r="B333" s="122" t="s">
        <v>1320</v>
      </c>
      <c r="C333" s="122" t="s">
        <v>2448</v>
      </c>
      <c r="D333" s="122" t="s">
        <v>3456</v>
      </c>
      <c r="E333" s="123">
        <v>3</v>
      </c>
      <c r="F333" s="123">
        <v>0</v>
      </c>
      <c r="G333" s="123">
        <f>ROUND(E333*AD333,2)</f>
        <v>0</v>
      </c>
      <c r="H333" s="123">
        <f>I333-G333</f>
        <v>0</v>
      </c>
      <c r="I333" s="123">
        <f>ROUND(E333*F333,2)</f>
        <v>0</v>
      </c>
      <c r="J333" s="123">
        <v>0.00049</v>
      </c>
      <c r="K333" s="123">
        <f>E333*J333</f>
        <v>0.00147</v>
      </c>
      <c r="M333" s="124" t="s">
        <v>7</v>
      </c>
      <c r="N333" s="123">
        <f>IF(M333="5",H333,0)</f>
        <v>0</v>
      </c>
      <c r="Y333" s="123">
        <f>IF(AC333=0,I333,0)</f>
        <v>0</v>
      </c>
      <c r="Z333" s="123">
        <f>IF(AC333=14,I333,0)</f>
        <v>0</v>
      </c>
      <c r="AA333" s="123">
        <f>IF(AC333=20,I333,0)</f>
        <v>0</v>
      </c>
      <c r="AC333" s="125">
        <v>20</v>
      </c>
      <c r="AD333" s="125">
        <f>F333*0.987009474783647</f>
        <v>0</v>
      </c>
      <c r="AE333" s="125">
        <f>F333*(1-0.987009474783647)</f>
        <v>0</v>
      </c>
    </row>
    <row r="334" s="90" customFormat="1" ht="11.25">
      <c r="C334" s="126" t="s">
        <v>2449</v>
      </c>
    </row>
    <row r="335" spans="1:31" s="90" customFormat="1" ht="11.25">
      <c r="A335" s="122" t="s">
        <v>238</v>
      </c>
      <c r="B335" s="122" t="s">
        <v>1321</v>
      </c>
      <c r="C335" s="122" t="s">
        <v>2450</v>
      </c>
      <c r="D335" s="122" t="s">
        <v>3456</v>
      </c>
      <c r="E335" s="123">
        <v>3</v>
      </c>
      <c r="F335" s="123">
        <v>0</v>
      </c>
      <c r="G335" s="123">
        <f>ROUND(E335*AD335,2)</f>
        <v>0</v>
      </c>
      <c r="H335" s="123">
        <f>I335-G335</f>
        <v>0</v>
      </c>
      <c r="I335" s="123">
        <f>ROUND(E335*F335,2)</f>
        <v>0</v>
      </c>
      <c r="J335" s="123">
        <v>0.00027</v>
      </c>
      <c r="K335" s="123">
        <f>E335*J335</f>
        <v>0.00081</v>
      </c>
      <c r="M335" s="124" t="s">
        <v>7</v>
      </c>
      <c r="N335" s="123">
        <f>IF(M335="5",H335,0)</f>
        <v>0</v>
      </c>
      <c r="Y335" s="123">
        <f>IF(AC335=0,I335,0)</f>
        <v>0</v>
      </c>
      <c r="Z335" s="123">
        <f>IF(AC335=14,I335,0)</f>
        <v>0</v>
      </c>
      <c r="AA335" s="123">
        <f>IF(AC335=20,I335,0)</f>
        <v>0</v>
      </c>
      <c r="AC335" s="125">
        <v>20</v>
      </c>
      <c r="AD335" s="125">
        <f>F335*0.815493603630671</f>
        <v>0</v>
      </c>
      <c r="AE335" s="125">
        <f>F335*(1-0.815493603630671)</f>
        <v>0</v>
      </c>
    </row>
    <row r="336" s="90" customFormat="1" ht="11.25">
      <c r="C336" s="126" t="s">
        <v>2451</v>
      </c>
    </row>
    <row r="337" spans="1:31" s="90" customFormat="1" ht="11.25">
      <c r="A337" s="122" t="s">
        <v>239</v>
      </c>
      <c r="B337" s="122" t="s">
        <v>1322</v>
      </c>
      <c r="C337" s="122" t="s">
        <v>2452</v>
      </c>
      <c r="D337" s="122" t="s">
        <v>3455</v>
      </c>
      <c r="E337" s="123">
        <v>274.4</v>
      </c>
      <c r="F337" s="123">
        <v>0</v>
      </c>
      <c r="G337" s="123">
        <f>ROUND(E337*AD337,2)</f>
        <v>0</v>
      </c>
      <c r="H337" s="123">
        <f>I337-G337</f>
        <v>0</v>
      </c>
      <c r="I337" s="123">
        <f>ROUND(E337*F337,2)</f>
        <v>0</v>
      </c>
      <c r="J337" s="123">
        <v>0</v>
      </c>
      <c r="K337" s="123">
        <f>E337*J337</f>
        <v>0</v>
      </c>
      <c r="M337" s="124" t="s">
        <v>7</v>
      </c>
      <c r="N337" s="123">
        <f>IF(M337="5",H337,0)</f>
        <v>0</v>
      </c>
      <c r="Y337" s="123">
        <f>IF(AC337=0,I337,0)</f>
        <v>0</v>
      </c>
      <c r="Z337" s="123">
        <f>IF(AC337=14,I337,0)</f>
        <v>0</v>
      </c>
      <c r="AA337" s="123">
        <f>IF(AC337=20,I337,0)</f>
        <v>0</v>
      </c>
      <c r="AC337" s="125">
        <v>20</v>
      </c>
      <c r="AD337" s="125">
        <f>F337*0.0326848249027237</f>
        <v>0</v>
      </c>
      <c r="AE337" s="125">
        <f>F337*(1-0.0326848249027237)</f>
        <v>0</v>
      </c>
    </row>
    <row r="338" spans="1:31" s="90" customFormat="1" ht="11.25">
      <c r="A338" s="122" t="s">
        <v>240</v>
      </c>
      <c r="B338" s="122" t="s">
        <v>1323</v>
      </c>
      <c r="C338" s="122" t="s">
        <v>2453</v>
      </c>
      <c r="D338" s="122" t="s">
        <v>3455</v>
      </c>
      <c r="E338" s="123">
        <v>277.5</v>
      </c>
      <c r="F338" s="123">
        <v>0</v>
      </c>
      <c r="G338" s="123">
        <f>ROUND(E338*AD338,2)</f>
        <v>0</v>
      </c>
      <c r="H338" s="123">
        <f>I338-G338</f>
        <v>0</v>
      </c>
      <c r="I338" s="123">
        <f>ROUND(E338*F338,2)</f>
        <v>0</v>
      </c>
      <c r="J338" s="123">
        <v>0</v>
      </c>
      <c r="K338" s="123">
        <f>E338*J338</f>
        <v>0</v>
      </c>
      <c r="M338" s="124" t="s">
        <v>7</v>
      </c>
      <c r="N338" s="123">
        <f>IF(M338="5",H338,0)</f>
        <v>0</v>
      </c>
      <c r="Y338" s="123">
        <f>IF(AC338=0,I338,0)</f>
        <v>0</v>
      </c>
      <c r="Z338" s="123">
        <f>IF(AC338=14,I338,0)</f>
        <v>0</v>
      </c>
      <c r="AA338" s="123">
        <f>IF(AC338=20,I338,0)</f>
        <v>0</v>
      </c>
      <c r="AC338" s="125">
        <v>20</v>
      </c>
      <c r="AD338" s="125">
        <f>F338*0.0980507974010632</f>
        <v>0</v>
      </c>
      <c r="AE338" s="125">
        <f>F338*(1-0.0980507974010632)</f>
        <v>0</v>
      </c>
    </row>
    <row r="339" spans="1:31" s="90" customFormat="1" ht="11.25">
      <c r="A339" s="122" t="s">
        <v>241</v>
      </c>
      <c r="B339" s="122" t="s">
        <v>1324</v>
      </c>
      <c r="C339" s="122" t="s">
        <v>2454</v>
      </c>
      <c r="D339" s="122" t="s">
        <v>3460</v>
      </c>
      <c r="E339" s="123">
        <v>0.7793</v>
      </c>
      <c r="F339" s="123">
        <v>0</v>
      </c>
      <c r="G339" s="123">
        <f>ROUND(E339*AD339,2)</f>
        <v>0</v>
      </c>
      <c r="H339" s="123">
        <f>I339-G339</f>
        <v>0</v>
      </c>
      <c r="I339" s="123">
        <f>ROUND(E339*F339,2)</f>
        <v>0</v>
      </c>
      <c r="J339" s="123">
        <v>0</v>
      </c>
      <c r="K339" s="123">
        <f>E339*J339</f>
        <v>0</v>
      </c>
      <c r="M339" s="124" t="s">
        <v>11</v>
      </c>
      <c r="N339" s="123">
        <f>IF(M339="5",H339,0)</f>
        <v>0</v>
      </c>
      <c r="Y339" s="123">
        <f>IF(AC339=0,I339,0)</f>
        <v>0</v>
      </c>
      <c r="Z339" s="123">
        <f>IF(AC339=14,I339,0)</f>
        <v>0</v>
      </c>
      <c r="AA339" s="123">
        <f>IF(AC339=20,I339,0)</f>
        <v>0</v>
      </c>
      <c r="AC339" s="125">
        <v>20</v>
      </c>
      <c r="AD339" s="125">
        <f>F339*0</f>
        <v>0</v>
      </c>
      <c r="AE339" s="125">
        <f>F339*(1-0)</f>
        <v>0</v>
      </c>
    </row>
    <row r="340" spans="1:36" s="90" customFormat="1" ht="11.25">
      <c r="A340" s="127"/>
      <c r="B340" s="128" t="s">
        <v>728</v>
      </c>
      <c r="C340" s="129" t="s">
        <v>2455</v>
      </c>
      <c r="D340" s="130"/>
      <c r="E340" s="130"/>
      <c r="F340" s="130"/>
      <c r="G340" s="121">
        <f>SUM(G341:G395)</f>
        <v>0</v>
      </c>
      <c r="H340" s="121">
        <f>SUM(H341:H395)</f>
        <v>0</v>
      </c>
      <c r="I340" s="121">
        <f>G340+H340</f>
        <v>0</v>
      </c>
      <c r="J340" s="114"/>
      <c r="K340" s="121">
        <f>SUM(K341:K395)</f>
        <v>2.2425200000000003</v>
      </c>
      <c r="O340" s="121">
        <f>IF(P340="PR",I340,SUM(N341:N395))</f>
        <v>0</v>
      </c>
      <c r="P340" s="114" t="s">
        <v>3490</v>
      </c>
      <c r="Q340" s="121">
        <f>IF(P340="HS",G340,0)</f>
        <v>0</v>
      </c>
      <c r="R340" s="121">
        <f>IF(P340="HS",H340-O340,0)</f>
        <v>0</v>
      </c>
      <c r="S340" s="121">
        <f>IF(P340="PS",G340,0)</f>
        <v>0</v>
      </c>
      <c r="T340" s="121">
        <f>IF(P340="PS",H340-O340,0)</f>
        <v>0</v>
      </c>
      <c r="U340" s="121">
        <f>IF(P340="MP",G340,0)</f>
        <v>0</v>
      </c>
      <c r="V340" s="121">
        <f>IF(P340="MP",H340-O340,0)</f>
        <v>0</v>
      </c>
      <c r="W340" s="121">
        <f>IF(P340="OM",G340,0)</f>
        <v>0</v>
      </c>
      <c r="X340" s="114"/>
      <c r="AH340" s="121">
        <f>SUM(Y341:Y395)</f>
        <v>0</v>
      </c>
      <c r="AI340" s="121">
        <f>SUM(Z341:Z395)</f>
        <v>0</v>
      </c>
      <c r="AJ340" s="121">
        <f>SUM(AA341:AA395)</f>
        <v>0</v>
      </c>
    </row>
    <row r="341" spans="1:31" s="90" customFormat="1" ht="11.25">
      <c r="A341" s="131" t="s">
        <v>242</v>
      </c>
      <c r="B341" s="131" t="s">
        <v>1325</v>
      </c>
      <c r="C341" s="131" t="s">
        <v>2456</v>
      </c>
      <c r="D341" s="131" t="s">
        <v>3456</v>
      </c>
      <c r="E341" s="132">
        <v>9</v>
      </c>
      <c r="F341" s="132">
        <v>0</v>
      </c>
      <c r="G341" s="132">
        <f aca="true" t="shared" si="92" ref="G341:G351">ROUND(E341*AD341,2)</f>
        <v>0</v>
      </c>
      <c r="H341" s="132">
        <f aca="true" t="shared" si="93" ref="H341:H351">I341-G341</f>
        <v>0</v>
      </c>
      <c r="I341" s="132">
        <f aca="true" t="shared" si="94" ref="I341:I351">ROUND(E341*F341,2)</f>
        <v>0</v>
      </c>
      <c r="J341" s="132">
        <v>0.00015</v>
      </c>
      <c r="K341" s="132">
        <f aca="true" t="shared" si="95" ref="K341:K351">E341*J341</f>
        <v>0.0013499999999999999</v>
      </c>
      <c r="M341" s="133" t="s">
        <v>1101</v>
      </c>
      <c r="N341" s="132">
        <f aca="true" t="shared" si="96" ref="N341:N351">IF(M341="5",H341,0)</f>
        <v>0</v>
      </c>
      <c r="Y341" s="132">
        <f aca="true" t="shared" si="97" ref="Y341:Y351">IF(AC341=0,I341,0)</f>
        <v>0</v>
      </c>
      <c r="Z341" s="132">
        <f aca="true" t="shared" si="98" ref="Z341:Z351">IF(AC341=14,I341,0)</f>
        <v>0</v>
      </c>
      <c r="AA341" s="132">
        <f aca="true" t="shared" si="99" ref="AA341:AA351">IF(AC341=20,I341,0)</f>
        <v>0</v>
      </c>
      <c r="AC341" s="125">
        <v>20</v>
      </c>
      <c r="AD341" s="125">
        <f aca="true" t="shared" si="100" ref="AD341:AD350">F341*1</f>
        <v>0</v>
      </c>
      <c r="AE341" s="125">
        <f aca="true" t="shared" si="101" ref="AE341:AE350">F341*(1-1)</f>
        <v>0</v>
      </c>
    </row>
    <row r="342" spans="1:31" s="90" customFormat="1" ht="11.25">
      <c r="A342" s="131" t="s">
        <v>243</v>
      </c>
      <c r="B342" s="131" t="s">
        <v>1326</v>
      </c>
      <c r="C342" s="131" t="s">
        <v>2457</v>
      </c>
      <c r="D342" s="131" t="s">
        <v>3456</v>
      </c>
      <c r="E342" s="132">
        <v>13</v>
      </c>
      <c r="F342" s="132">
        <v>0</v>
      </c>
      <c r="G342" s="132">
        <f t="shared" si="92"/>
        <v>0</v>
      </c>
      <c r="H342" s="132">
        <f t="shared" si="93"/>
        <v>0</v>
      </c>
      <c r="I342" s="132">
        <f t="shared" si="94"/>
        <v>0</v>
      </c>
      <c r="J342" s="132">
        <v>0.00031</v>
      </c>
      <c r="K342" s="132">
        <f t="shared" si="95"/>
        <v>0.00403</v>
      </c>
      <c r="M342" s="133" t="s">
        <v>1101</v>
      </c>
      <c r="N342" s="132">
        <f t="shared" si="96"/>
        <v>0</v>
      </c>
      <c r="Y342" s="132">
        <f t="shared" si="97"/>
        <v>0</v>
      </c>
      <c r="Z342" s="132">
        <f t="shared" si="98"/>
        <v>0</v>
      </c>
      <c r="AA342" s="132">
        <f t="shared" si="99"/>
        <v>0</v>
      </c>
      <c r="AC342" s="125">
        <v>20</v>
      </c>
      <c r="AD342" s="125">
        <f t="shared" si="100"/>
        <v>0</v>
      </c>
      <c r="AE342" s="125">
        <f t="shared" si="101"/>
        <v>0</v>
      </c>
    </row>
    <row r="343" spans="1:31" s="90" customFormat="1" ht="11.25">
      <c r="A343" s="131" t="s">
        <v>244</v>
      </c>
      <c r="B343" s="131" t="s">
        <v>1327</v>
      </c>
      <c r="C343" s="131" t="s">
        <v>2458</v>
      </c>
      <c r="D343" s="131" t="s">
        <v>3456</v>
      </c>
      <c r="E343" s="132">
        <v>18</v>
      </c>
      <c r="F343" s="132">
        <v>0</v>
      </c>
      <c r="G343" s="132">
        <f t="shared" si="92"/>
        <v>0</v>
      </c>
      <c r="H343" s="132">
        <f t="shared" si="93"/>
        <v>0</v>
      </c>
      <c r="I343" s="132">
        <f t="shared" si="94"/>
        <v>0</v>
      </c>
      <c r="J343" s="132">
        <v>0.00048</v>
      </c>
      <c r="K343" s="132">
        <f t="shared" si="95"/>
        <v>0.00864</v>
      </c>
      <c r="M343" s="133" t="s">
        <v>1101</v>
      </c>
      <c r="N343" s="132">
        <f t="shared" si="96"/>
        <v>0</v>
      </c>
      <c r="Y343" s="132">
        <f t="shared" si="97"/>
        <v>0</v>
      </c>
      <c r="Z343" s="132">
        <f t="shared" si="98"/>
        <v>0</v>
      </c>
      <c r="AA343" s="132">
        <f t="shared" si="99"/>
        <v>0</v>
      </c>
      <c r="AC343" s="125">
        <v>20</v>
      </c>
      <c r="AD343" s="125">
        <f t="shared" si="100"/>
        <v>0</v>
      </c>
      <c r="AE343" s="125">
        <f t="shared" si="101"/>
        <v>0</v>
      </c>
    </row>
    <row r="344" spans="1:31" s="90" customFormat="1" ht="11.25">
      <c r="A344" s="131" t="s">
        <v>245</v>
      </c>
      <c r="B344" s="131" t="s">
        <v>1328</v>
      </c>
      <c r="C344" s="131" t="s">
        <v>2459</v>
      </c>
      <c r="D344" s="131" t="s">
        <v>3456</v>
      </c>
      <c r="E344" s="132">
        <v>5</v>
      </c>
      <c r="F344" s="132">
        <v>0</v>
      </c>
      <c r="G344" s="132">
        <f t="shared" si="92"/>
        <v>0</v>
      </c>
      <c r="H344" s="132">
        <f t="shared" si="93"/>
        <v>0</v>
      </c>
      <c r="I344" s="132">
        <f t="shared" si="94"/>
        <v>0</v>
      </c>
      <c r="J344" s="132">
        <v>0.00068</v>
      </c>
      <c r="K344" s="132">
        <f t="shared" si="95"/>
        <v>0.0034000000000000002</v>
      </c>
      <c r="M344" s="133" t="s">
        <v>1101</v>
      </c>
      <c r="N344" s="132">
        <f t="shared" si="96"/>
        <v>0</v>
      </c>
      <c r="Y344" s="132">
        <f t="shared" si="97"/>
        <v>0</v>
      </c>
      <c r="Z344" s="132">
        <f t="shared" si="98"/>
        <v>0</v>
      </c>
      <c r="AA344" s="132">
        <f t="shared" si="99"/>
        <v>0</v>
      </c>
      <c r="AC344" s="125">
        <v>20</v>
      </c>
      <c r="AD344" s="125">
        <f t="shared" si="100"/>
        <v>0</v>
      </c>
      <c r="AE344" s="125">
        <f t="shared" si="101"/>
        <v>0</v>
      </c>
    </row>
    <row r="345" spans="1:31" s="90" customFormat="1" ht="11.25">
      <c r="A345" s="131" t="s">
        <v>246</v>
      </c>
      <c r="B345" s="131" t="s">
        <v>1329</v>
      </c>
      <c r="C345" s="131" t="s">
        <v>2460</v>
      </c>
      <c r="D345" s="131" t="s">
        <v>3456</v>
      </c>
      <c r="E345" s="132">
        <v>2</v>
      </c>
      <c r="F345" s="132">
        <v>0</v>
      </c>
      <c r="G345" s="132">
        <f t="shared" si="92"/>
        <v>0</v>
      </c>
      <c r="H345" s="132">
        <f t="shared" si="93"/>
        <v>0</v>
      </c>
      <c r="I345" s="132">
        <f t="shared" si="94"/>
        <v>0</v>
      </c>
      <c r="J345" s="132">
        <v>0.00104</v>
      </c>
      <c r="K345" s="132">
        <f t="shared" si="95"/>
        <v>0.00208</v>
      </c>
      <c r="M345" s="133" t="s">
        <v>1101</v>
      </c>
      <c r="N345" s="132">
        <f t="shared" si="96"/>
        <v>0</v>
      </c>
      <c r="Y345" s="132">
        <f t="shared" si="97"/>
        <v>0</v>
      </c>
      <c r="Z345" s="132">
        <f t="shared" si="98"/>
        <v>0</v>
      </c>
      <c r="AA345" s="132">
        <f t="shared" si="99"/>
        <v>0</v>
      </c>
      <c r="AC345" s="125">
        <v>20</v>
      </c>
      <c r="AD345" s="125">
        <f t="shared" si="100"/>
        <v>0</v>
      </c>
      <c r="AE345" s="125">
        <f t="shared" si="101"/>
        <v>0</v>
      </c>
    </row>
    <row r="346" spans="1:31" s="90" customFormat="1" ht="11.25">
      <c r="A346" s="131" t="s">
        <v>247</v>
      </c>
      <c r="B346" s="131" t="s">
        <v>1330</v>
      </c>
      <c r="C346" s="131" t="s">
        <v>2461</v>
      </c>
      <c r="D346" s="131" t="s">
        <v>3456</v>
      </c>
      <c r="E346" s="132">
        <v>2</v>
      </c>
      <c r="F346" s="132">
        <v>0</v>
      </c>
      <c r="G346" s="132">
        <f t="shared" si="92"/>
        <v>0</v>
      </c>
      <c r="H346" s="132">
        <f t="shared" si="93"/>
        <v>0</v>
      </c>
      <c r="I346" s="132">
        <f t="shared" si="94"/>
        <v>0</v>
      </c>
      <c r="J346" s="132">
        <v>0.00163</v>
      </c>
      <c r="K346" s="132">
        <f t="shared" si="95"/>
        <v>0.00326</v>
      </c>
      <c r="M346" s="133" t="s">
        <v>1101</v>
      </c>
      <c r="N346" s="132">
        <f t="shared" si="96"/>
        <v>0</v>
      </c>
      <c r="Y346" s="132">
        <f t="shared" si="97"/>
        <v>0</v>
      </c>
      <c r="Z346" s="132">
        <f t="shared" si="98"/>
        <v>0</v>
      </c>
      <c r="AA346" s="132">
        <f t="shared" si="99"/>
        <v>0</v>
      </c>
      <c r="AC346" s="125">
        <v>20</v>
      </c>
      <c r="AD346" s="125">
        <f t="shared" si="100"/>
        <v>0</v>
      </c>
      <c r="AE346" s="125">
        <f t="shared" si="101"/>
        <v>0</v>
      </c>
    </row>
    <row r="347" spans="1:31" s="90" customFormat="1" ht="11.25">
      <c r="A347" s="131" t="s">
        <v>248</v>
      </c>
      <c r="B347" s="131" t="s">
        <v>1331</v>
      </c>
      <c r="C347" s="131" t="s">
        <v>2462</v>
      </c>
      <c r="D347" s="131" t="s">
        <v>3456</v>
      </c>
      <c r="E347" s="132">
        <v>1</v>
      </c>
      <c r="F347" s="132">
        <v>0</v>
      </c>
      <c r="G347" s="132">
        <f t="shared" si="92"/>
        <v>0</v>
      </c>
      <c r="H347" s="132">
        <f t="shared" si="93"/>
        <v>0</v>
      </c>
      <c r="I347" s="132">
        <f t="shared" si="94"/>
        <v>0</v>
      </c>
      <c r="J347" s="132">
        <v>0.00035</v>
      </c>
      <c r="K347" s="132">
        <f t="shared" si="95"/>
        <v>0.00035</v>
      </c>
      <c r="M347" s="133" t="s">
        <v>1101</v>
      </c>
      <c r="N347" s="132">
        <f t="shared" si="96"/>
        <v>0</v>
      </c>
      <c r="Y347" s="132">
        <f t="shared" si="97"/>
        <v>0</v>
      </c>
      <c r="Z347" s="132">
        <f t="shared" si="98"/>
        <v>0</v>
      </c>
      <c r="AA347" s="132">
        <f t="shared" si="99"/>
        <v>0</v>
      </c>
      <c r="AC347" s="125">
        <v>20</v>
      </c>
      <c r="AD347" s="125">
        <f t="shared" si="100"/>
        <v>0</v>
      </c>
      <c r="AE347" s="125">
        <f t="shared" si="101"/>
        <v>0</v>
      </c>
    </row>
    <row r="348" spans="1:31" s="90" customFormat="1" ht="11.25">
      <c r="A348" s="131" t="s">
        <v>249</v>
      </c>
      <c r="B348" s="131" t="s">
        <v>1332</v>
      </c>
      <c r="C348" s="131" t="s">
        <v>2463</v>
      </c>
      <c r="D348" s="131" t="s">
        <v>3456</v>
      </c>
      <c r="E348" s="132">
        <v>1</v>
      </c>
      <c r="F348" s="132">
        <v>0</v>
      </c>
      <c r="G348" s="132">
        <f t="shared" si="92"/>
        <v>0</v>
      </c>
      <c r="H348" s="132">
        <f t="shared" si="93"/>
        <v>0</v>
      </c>
      <c r="I348" s="132">
        <f t="shared" si="94"/>
        <v>0</v>
      </c>
      <c r="J348" s="132">
        <v>0.00077</v>
      </c>
      <c r="K348" s="132">
        <f t="shared" si="95"/>
        <v>0.00077</v>
      </c>
      <c r="M348" s="133" t="s">
        <v>1101</v>
      </c>
      <c r="N348" s="132">
        <f t="shared" si="96"/>
        <v>0</v>
      </c>
      <c r="Y348" s="132">
        <f t="shared" si="97"/>
        <v>0</v>
      </c>
      <c r="Z348" s="132">
        <f t="shared" si="98"/>
        <v>0</v>
      </c>
      <c r="AA348" s="132">
        <f t="shared" si="99"/>
        <v>0</v>
      </c>
      <c r="AC348" s="125">
        <v>20</v>
      </c>
      <c r="AD348" s="125">
        <f t="shared" si="100"/>
        <v>0</v>
      </c>
      <c r="AE348" s="125">
        <f t="shared" si="101"/>
        <v>0</v>
      </c>
    </row>
    <row r="349" spans="1:31" s="90" customFormat="1" ht="11.25">
      <c r="A349" s="131" t="s">
        <v>250</v>
      </c>
      <c r="B349" s="131" t="s">
        <v>1333</v>
      </c>
      <c r="C349" s="131" t="s">
        <v>2464</v>
      </c>
      <c r="D349" s="131" t="s">
        <v>3456</v>
      </c>
      <c r="E349" s="132">
        <v>1</v>
      </c>
      <c r="F349" s="132">
        <v>0</v>
      </c>
      <c r="G349" s="132">
        <f t="shared" si="92"/>
        <v>0</v>
      </c>
      <c r="H349" s="132">
        <f t="shared" si="93"/>
        <v>0</v>
      </c>
      <c r="I349" s="132">
        <f t="shared" si="94"/>
        <v>0</v>
      </c>
      <c r="J349" s="132">
        <v>0.00025</v>
      </c>
      <c r="K349" s="132">
        <f t="shared" si="95"/>
        <v>0.00025</v>
      </c>
      <c r="M349" s="133" t="s">
        <v>1101</v>
      </c>
      <c r="N349" s="132">
        <f t="shared" si="96"/>
        <v>0</v>
      </c>
      <c r="Y349" s="132">
        <f t="shared" si="97"/>
        <v>0</v>
      </c>
      <c r="Z349" s="132">
        <f t="shared" si="98"/>
        <v>0</v>
      </c>
      <c r="AA349" s="132">
        <f t="shared" si="99"/>
        <v>0</v>
      </c>
      <c r="AC349" s="125">
        <v>20</v>
      </c>
      <c r="AD349" s="125">
        <f t="shared" si="100"/>
        <v>0</v>
      </c>
      <c r="AE349" s="125">
        <f t="shared" si="101"/>
        <v>0</v>
      </c>
    </row>
    <row r="350" spans="1:31" s="90" customFormat="1" ht="11.25">
      <c r="A350" s="131" t="s">
        <v>251</v>
      </c>
      <c r="B350" s="131" t="s">
        <v>1334</v>
      </c>
      <c r="C350" s="131" t="s">
        <v>2465</v>
      </c>
      <c r="D350" s="131" t="s">
        <v>3456</v>
      </c>
      <c r="E350" s="132">
        <v>1</v>
      </c>
      <c r="F350" s="132">
        <v>0</v>
      </c>
      <c r="G350" s="132">
        <f t="shared" si="92"/>
        <v>0</v>
      </c>
      <c r="H350" s="132">
        <f t="shared" si="93"/>
        <v>0</v>
      </c>
      <c r="I350" s="132">
        <f t="shared" si="94"/>
        <v>0</v>
      </c>
      <c r="J350" s="132">
        <v>0.00068</v>
      </c>
      <c r="K350" s="132">
        <f t="shared" si="95"/>
        <v>0.00068</v>
      </c>
      <c r="M350" s="133" t="s">
        <v>1101</v>
      </c>
      <c r="N350" s="132">
        <f t="shared" si="96"/>
        <v>0</v>
      </c>
      <c r="Y350" s="132">
        <f t="shared" si="97"/>
        <v>0</v>
      </c>
      <c r="Z350" s="132">
        <f t="shared" si="98"/>
        <v>0</v>
      </c>
      <c r="AA350" s="132">
        <f t="shared" si="99"/>
        <v>0</v>
      </c>
      <c r="AC350" s="125">
        <v>20</v>
      </c>
      <c r="AD350" s="125">
        <f t="shared" si="100"/>
        <v>0</v>
      </c>
      <c r="AE350" s="125">
        <f t="shared" si="101"/>
        <v>0</v>
      </c>
    </row>
    <row r="351" spans="1:31" s="90" customFormat="1" ht="11.25">
      <c r="A351" s="122" t="s">
        <v>252</v>
      </c>
      <c r="B351" s="122" t="s">
        <v>1335</v>
      </c>
      <c r="C351" s="122" t="s">
        <v>2466</v>
      </c>
      <c r="D351" s="122" t="s">
        <v>3455</v>
      </c>
      <c r="E351" s="123">
        <v>67</v>
      </c>
      <c r="F351" s="123">
        <v>0</v>
      </c>
      <c r="G351" s="123">
        <f t="shared" si="92"/>
        <v>0</v>
      </c>
      <c r="H351" s="123">
        <f t="shared" si="93"/>
        <v>0</v>
      </c>
      <c r="I351" s="123">
        <f t="shared" si="94"/>
        <v>0</v>
      </c>
      <c r="J351" s="123">
        <v>0.006</v>
      </c>
      <c r="K351" s="123">
        <f t="shared" si="95"/>
        <v>0.402</v>
      </c>
      <c r="M351" s="124" t="s">
        <v>7</v>
      </c>
      <c r="N351" s="123">
        <f t="shared" si="96"/>
        <v>0</v>
      </c>
      <c r="Y351" s="123">
        <f t="shared" si="97"/>
        <v>0</v>
      </c>
      <c r="Z351" s="123">
        <f t="shared" si="98"/>
        <v>0</v>
      </c>
      <c r="AA351" s="123">
        <f t="shared" si="99"/>
        <v>0</v>
      </c>
      <c r="AC351" s="125">
        <v>20</v>
      </c>
      <c r="AD351" s="125">
        <f>F351*0.355055523085915</f>
        <v>0</v>
      </c>
      <c r="AE351" s="125">
        <f>F351*(1-0.355055523085915)</f>
        <v>0</v>
      </c>
    </row>
    <row r="352" s="90" customFormat="1" ht="11.25">
      <c r="C352" s="126" t="s">
        <v>2467</v>
      </c>
    </row>
    <row r="353" spans="1:31" s="90" customFormat="1" ht="11.25">
      <c r="A353" s="122" t="s">
        <v>253</v>
      </c>
      <c r="B353" s="122" t="s">
        <v>1336</v>
      </c>
      <c r="C353" s="122" t="s">
        <v>2468</v>
      </c>
      <c r="D353" s="122" t="s">
        <v>3455</v>
      </c>
      <c r="E353" s="123">
        <v>58</v>
      </c>
      <c r="F353" s="123">
        <v>0</v>
      </c>
      <c r="G353" s="123">
        <f>ROUND(E353*AD353,2)</f>
        <v>0</v>
      </c>
      <c r="H353" s="123">
        <f>I353-G353</f>
        <v>0</v>
      </c>
      <c r="I353" s="123">
        <f>ROUND(E353*F353,2)</f>
        <v>0</v>
      </c>
      <c r="J353" s="123">
        <v>0.008</v>
      </c>
      <c r="K353" s="123">
        <f>E353*J353</f>
        <v>0.464</v>
      </c>
      <c r="M353" s="124" t="s">
        <v>7</v>
      </c>
      <c r="N353" s="123">
        <f>IF(M353="5",H353,0)</f>
        <v>0</v>
      </c>
      <c r="Y353" s="123">
        <f>IF(AC353=0,I353,0)</f>
        <v>0</v>
      </c>
      <c r="Z353" s="123">
        <f>IF(AC353=14,I353,0)</f>
        <v>0</v>
      </c>
      <c r="AA353" s="123">
        <f>IF(AC353=20,I353,0)</f>
        <v>0</v>
      </c>
      <c r="AC353" s="125">
        <v>20</v>
      </c>
      <c r="AD353" s="125">
        <f>F353*0.446428571428571</f>
        <v>0</v>
      </c>
      <c r="AE353" s="125">
        <f>F353*(1-0.446428571428571)</f>
        <v>0</v>
      </c>
    </row>
    <row r="354" s="90" customFormat="1" ht="11.25">
      <c r="C354" s="126" t="s">
        <v>2467</v>
      </c>
    </row>
    <row r="355" spans="1:31" s="90" customFormat="1" ht="11.25">
      <c r="A355" s="122" t="s">
        <v>254</v>
      </c>
      <c r="B355" s="122" t="s">
        <v>1337</v>
      </c>
      <c r="C355" s="122" t="s">
        <v>2469</v>
      </c>
      <c r="D355" s="122" t="s">
        <v>3456</v>
      </c>
      <c r="E355" s="123">
        <v>1</v>
      </c>
      <c r="F355" s="123">
        <v>0</v>
      </c>
      <c r="G355" s="123">
        <f>ROUND(E355*AD355,2)</f>
        <v>0</v>
      </c>
      <c r="H355" s="123">
        <f>I355-G355</f>
        <v>0</v>
      </c>
      <c r="I355" s="123">
        <f>ROUND(E355*F355,2)</f>
        <v>0</v>
      </c>
      <c r="J355" s="123">
        <v>0.001</v>
      </c>
      <c r="K355" s="123">
        <f>E355*J355</f>
        <v>0.001</v>
      </c>
      <c r="M355" s="124" t="s">
        <v>7</v>
      </c>
      <c r="N355" s="123">
        <f>IF(M355="5",H355,0)</f>
        <v>0</v>
      </c>
      <c r="Y355" s="123">
        <f>IF(AC355=0,I355,0)</f>
        <v>0</v>
      </c>
      <c r="Z355" s="123">
        <f>IF(AC355=14,I355,0)</f>
        <v>0</v>
      </c>
      <c r="AA355" s="123">
        <f>IF(AC355=20,I355,0)</f>
        <v>0</v>
      </c>
      <c r="AC355" s="125">
        <v>20</v>
      </c>
      <c r="AD355" s="125">
        <f>F355*0.645161290322581</f>
        <v>0</v>
      </c>
      <c r="AE355" s="125">
        <f>F355*(1-0.645161290322581)</f>
        <v>0</v>
      </c>
    </row>
    <row r="356" spans="1:31" s="90" customFormat="1" ht="11.25">
      <c r="A356" s="122" t="s">
        <v>255</v>
      </c>
      <c r="B356" s="122" t="s">
        <v>1338</v>
      </c>
      <c r="C356" s="122" t="s">
        <v>2470</v>
      </c>
      <c r="D356" s="122" t="s">
        <v>3455</v>
      </c>
      <c r="E356" s="123">
        <v>14</v>
      </c>
      <c r="F356" s="123">
        <v>0</v>
      </c>
      <c r="G356" s="123">
        <f>ROUND(E356*AD356,2)</f>
        <v>0</v>
      </c>
      <c r="H356" s="123">
        <f>I356-G356</f>
        <v>0</v>
      </c>
      <c r="I356" s="123">
        <f>ROUND(E356*F356,2)</f>
        <v>0</v>
      </c>
      <c r="J356" s="123">
        <v>0.0162</v>
      </c>
      <c r="K356" s="123">
        <f>E356*J356</f>
        <v>0.2268</v>
      </c>
      <c r="M356" s="124" t="s">
        <v>9</v>
      </c>
      <c r="N356" s="123">
        <f>IF(M356="5",H356,0)</f>
        <v>0</v>
      </c>
      <c r="Y356" s="123">
        <f>IF(AC356=0,I356,0)</f>
        <v>0</v>
      </c>
      <c r="Z356" s="123">
        <f>IF(AC356=14,I356,0)</f>
        <v>0</v>
      </c>
      <c r="AA356" s="123">
        <f>IF(AC356=20,I356,0)</f>
        <v>0</v>
      </c>
      <c r="AC356" s="125">
        <v>20</v>
      </c>
      <c r="AD356" s="125">
        <f>F356*0.51739671722963</f>
        <v>0</v>
      </c>
      <c r="AE356" s="125">
        <f>F356*(1-0.51739671722963)</f>
        <v>0</v>
      </c>
    </row>
    <row r="357" s="90" customFormat="1" ht="22.5">
      <c r="C357" s="126" t="s">
        <v>2471</v>
      </c>
    </row>
    <row r="358" spans="1:31" s="90" customFormat="1" ht="11.25">
      <c r="A358" s="122" t="s">
        <v>256</v>
      </c>
      <c r="B358" s="122" t="s">
        <v>1339</v>
      </c>
      <c r="C358" s="122" t="s">
        <v>2472</v>
      </c>
      <c r="D358" s="122" t="s">
        <v>3455</v>
      </c>
      <c r="E358" s="123">
        <v>3</v>
      </c>
      <c r="F358" s="123">
        <v>0</v>
      </c>
      <c r="G358" s="123">
        <f>ROUND(E358*AD358,2)</f>
        <v>0</v>
      </c>
      <c r="H358" s="123">
        <f>I358-G358</f>
        <v>0</v>
      </c>
      <c r="I358" s="123">
        <f>ROUND(E358*F358,2)</f>
        <v>0</v>
      </c>
      <c r="J358" s="123">
        <v>0.01615</v>
      </c>
      <c r="K358" s="123">
        <f>E358*J358</f>
        <v>0.04845000000000001</v>
      </c>
      <c r="M358" s="124" t="s">
        <v>9</v>
      </c>
      <c r="N358" s="123">
        <f>IF(M358="5",H358,0)</f>
        <v>0</v>
      </c>
      <c r="Y358" s="123">
        <f>IF(AC358=0,I358,0)</f>
        <v>0</v>
      </c>
      <c r="Z358" s="123">
        <f>IF(AC358=14,I358,0)</f>
        <v>0</v>
      </c>
      <c r="AA358" s="123">
        <f>IF(AC358=20,I358,0)</f>
        <v>0</v>
      </c>
      <c r="AC358" s="125">
        <v>20</v>
      </c>
      <c r="AD358" s="125">
        <f>F358*0.45212922714212</f>
        <v>0</v>
      </c>
      <c r="AE358" s="125">
        <f>F358*(1-0.45212922714212)</f>
        <v>0</v>
      </c>
    </row>
    <row r="359" s="90" customFormat="1" ht="11.25">
      <c r="C359" s="126" t="s">
        <v>2473</v>
      </c>
    </row>
    <row r="360" spans="1:31" s="90" customFormat="1" ht="11.25">
      <c r="A360" s="122" t="s">
        <v>257</v>
      </c>
      <c r="B360" s="122" t="s">
        <v>1340</v>
      </c>
      <c r="C360" s="122" t="s">
        <v>2474</v>
      </c>
      <c r="D360" s="122" t="s">
        <v>3455</v>
      </c>
      <c r="E360" s="123">
        <v>32</v>
      </c>
      <c r="F360" s="123">
        <v>0</v>
      </c>
      <c r="G360" s="123">
        <f>ROUND(E360*AD360,2)</f>
        <v>0</v>
      </c>
      <c r="H360" s="123">
        <f>I360-G360</f>
        <v>0</v>
      </c>
      <c r="I360" s="123">
        <f>ROUND(E360*F360,2)</f>
        <v>0</v>
      </c>
      <c r="J360" s="123">
        <v>0.01632</v>
      </c>
      <c r="K360" s="123">
        <f>E360*J360</f>
        <v>0.52224</v>
      </c>
      <c r="M360" s="124" t="s">
        <v>9</v>
      </c>
      <c r="N360" s="123">
        <f>IF(M360="5",H360,0)</f>
        <v>0</v>
      </c>
      <c r="Y360" s="123">
        <f>IF(AC360=0,I360,0)</f>
        <v>0</v>
      </c>
      <c r="Z360" s="123">
        <f>IF(AC360=14,I360,0)</f>
        <v>0</v>
      </c>
      <c r="AA360" s="123">
        <f>IF(AC360=20,I360,0)</f>
        <v>0</v>
      </c>
      <c r="AC360" s="125">
        <v>20</v>
      </c>
      <c r="AD360" s="125">
        <f>F360*0.51607833655706</f>
        <v>0</v>
      </c>
      <c r="AE360" s="125">
        <f>F360*(1-0.51607833655706)</f>
        <v>0</v>
      </c>
    </row>
    <row r="361" s="90" customFormat="1" ht="11.25">
      <c r="C361" s="126" t="s">
        <v>2473</v>
      </c>
    </row>
    <row r="362" spans="1:31" s="90" customFormat="1" ht="11.25">
      <c r="A362" s="122" t="s">
        <v>258</v>
      </c>
      <c r="B362" s="122" t="s">
        <v>1341</v>
      </c>
      <c r="C362" s="122" t="s">
        <v>2475</v>
      </c>
      <c r="D362" s="122" t="s">
        <v>3455</v>
      </c>
      <c r="E362" s="123">
        <v>9</v>
      </c>
      <c r="F362" s="123">
        <v>0</v>
      </c>
      <c r="G362" s="123">
        <f>ROUND(E362*AD362,2)</f>
        <v>0</v>
      </c>
      <c r="H362" s="123">
        <f>I362-G362</f>
        <v>0</v>
      </c>
      <c r="I362" s="123">
        <f>ROUND(E362*F362,2)</f>
        <v>0</v>
      </c>
      <c r="J362" s="123">
        <v>0.01893</v>
      </c>
      <c r="K362" s="123">
        <f>E362*J362</f>
        <v>0.17037</v>
      </c>
      <c r="M362" s="124" t="s">
        <v>9</v>
      </c>
      <c r="N362" s="123">
        <f>IF(M362="5",H362,0)</f>
        <v>0</v>
      </c>
      <c r="Y362" s="123">
        <f>IF(AC362=0,I362,0)</f>
        <v>0</v>
      </c>
      <c r="Z362" s="123">
        <f>IF(AC362=14,I362,0)</f>
        <v>0</v>
      </c>
      <c r="AA362" s="123">
        <f>IF(AC362=20,I362,0)</f>
        <v>0</v>
      </c>
      <c r="AC362" s="125">
        <v>20</v>
      </c>
      <c r="AD362" s="125">
        <f>F362*0.588563264776006</f>
        <v>0</v>
      </c>
      <c r="AE362" s="125">
        <f>F362*(1-0.588563264776006)</f>
        <v>0</v>
      </c>
    </row>
    <row r="363" s="90" customFormat="1" ht="11.25">
      <c r="C363" s="126" t="s">
        <v>2476</v>
      </c>
    </row>
    <row r="364" spans="1:31" s="90" customFormat="1" ht="11.25">
      <c r="A364" s="122" t="s">
        <v>259</v>
      </c>
      <c r="B364" s="122" t="s">
        <v>1342</v>
      </c>
      <c r="C364" s="122" t="s">
        <v>2477</v>
      </c>
      <c r="D364" s="122" t="s">
        <v>3455</v>
      </c>
      <c r="E364" s="123">
        <v>40</v>
      </c>
      <c r="F364" s="123">
        <v>0</v>
      </c>
      <c r="G364" s="123">
        <f aca="true" t="shared" si="102" ref="G364:G390">ROUND(E364*AD364,2)</f>
        <v>0</v>
      </c>
      <c r="H364" s="123">
        <f aca="true" t="shared" si="103" ref="H364:H390">I364-G364</f>
        <v>0</v>
      </c>
      <c r="I364" s="123">
        <f aca="true" t="shared" si="104" ref="I364:I390">ROUND(E364*F364,2)</f>
        <v>0</v>
      </c>
      <c r="J364" s="123">
        <v>0.0008</v>
      </c>
      <c r="K364" s="123">
        <f aca="true" t="shared" si="105" ref="K364:K390">E364*J364</f>
        <v>0.032</v>
      </c>
      <c r="M364" s="124" t="s">
        <v>7</v>
      </c>
      <c r="N364" s="123">
        <f aca="true" t="shared" si="106" ref="N364:N390">IF(M364="5",H364,0)</f>
        <v>0</v>
      </c>
      <c r="Y364" s="123">
        <f aca="true" t="shared" si="107" ref="Y364:Y390">IF(AC364=0,I364,0)</f>
        <v>0</v>
      </c>
      <c r="Z364" s="123">
        <f aca="true" t="shared" si="108" ref="Z364:Z390">IF(AC364=14,I364,0)</f>
        <v>0</v>
      </c>
      <c r="AA364" s="123">
        <f aca="true" t="shared" si="109" ref="AA364:AA390">IF(AC364=20,I364,0)</f>
        <v>0</v>
      </c>
      <c r="AC364" s="125">
        <v>20</v>
      </c>
      <c r="AD364" s="125">
        <f>F364*0.467938332897831</f>
        <v>0</v>
      </c>
      <c r="AE364" s="125">
        <f>F364*(1-0.467938332897831)</f>
        <v>0</v>
      </c>
    </row>
    <row r="365" spans="1:31" s="90" customFormat="1" ht="11.25">
      <c r="A365" s="122" t="s">
        <v>260</v>
      </c>
      <c r="B365" s="122" t="s">
        <v>1343</v>
      </c>
      <c r="C365" s="122" t="s">
        <v>2478</v>
      </c>
      <c r="D365" s="122" t="s">
        <v>3455</v>
      </c>
      <c r="E365" s="123">
        <v>15</v>
      </c>
      <c r="F365" s="123">
        <v>0</v>
      </c>
      <c r="G365" s="123">
        <f t="shared" si="102"/>
        <v>0</v>
      </c>
      <c r="H365" s="123">
        <f t="shared" si="103"/>
        <v>0</v>
      </c>
      <c r="I365" s="123">
        <f t="shared" si="104"/>
        <v>0</v>
      </c>
      <c r="J365" s="123">
        <v>0.00371</v>
      </c>
      <c r="K365" s="123">
        <f t="shared" si="105"/>
        <v>0.055650000000000005</v>
      </c>
      <c r="M365" s="124" t="s">
        <v>7</v>
      </c>
      <c r="N365" s="123">
        <f t="shared" si="106"/>
        <v>0</v>
      </c>
      <c r="Y365" s="123">
        <f t="shared" si="107"/>
        <v>0</v>
      </c>
      <c r="Z365" s="123">
        <f t="shared" si="108"/>
        <v>0</v>
      </c>
      <c r="AA365" s="123">
        <f t="shared" si="109"/>
        <v>0</v>
      </c>
      <c r="AC365" s="125">
        <v>20</v>
      </c>
      <c r="AD365" s="125">
        <f>F365*0.627941635185249</f>
        <v>0</v>
      </c>
      <c r="AE365" s="125">
        <f>F365*(1-0.627941635185249)</f>
        <v>0</v>
      </c>
    </row>
    <row r="366" spans="1:31" s="90" customFormat="1" ht="11.25">
      <c r="A366" s="122" t="s">
        <v>261</v>
      </c>
      <c r="B366" s="122" t="s">
        <v>1344</v>
      </c>
      <c r="C366" s="122" t="s">
        <v>2479</v>
      </c>
      <c r="D366" s="122" t="s">
        <v>3455</v>
      </c>
      <c r="E366" s="123">
        <v>135</v>
      </c>
      <c r="F366" s="123">
        <v>0</v>
      </c>
      <c r="G366" s="123">
        <f t="shared" si="102"/>
        <v>0</v>
      </c>
      <c r="H366" s="123">
        <f t="shared" si="103"/>
        <v>0</v>
      </c>
      <c r="I366" s="123">
        <f t="shared" si="104"/>
        <v>0</v>
      </c>
      <c r="J366" s="123">
        <v>0.00028</v>
      </c>
      <c r="K366" s="123">
        <f t="shared" si="105"/>
        <v>0.03779999999999999</v>
      </c>
      <c r="M366" s="124" t="s">
        <v>7</v>
      </c>
      <c r="N366" s="123">
        <f t="shared" si="106"/>
        <v>0</v>
      </c>
      <c r="Y366" s="123">
        <f t="shared" si="107"/>
        <v>0</v>
      </c>
      <c r="Z366" s="123">
        <f t="shared" si="108"/>
        <v>0</v>
      </c>
      <c r="AA366" s="123">
        <f t="shared" si="109"/>
        <v>0</v>
      </c>
      <c r="AC366" s="125">
        <v>20</v>
      </c>
      <c r="AD366" s="125">
        <f>F366*0.0469947373280399</f>
        <v>0</v>
      </c>
      <c r="AE366" s="125">
        <f>F366*(1-0.0469947373280399)</f>
        <v>0</v>
      </c>
    </row>
    <row r="367" spans="1:31" s="90" customFormat="1" ht="11.25">
      <c r="A367" s="122" t="s">
        <v>262</v>
      </c>
      <c r="B367" s="122" t="s">
        <v>1345</v>
      </c>
      <c r="C367" s="122" t="s">
        <v>2480</v>
      </c>
      <c r="D367" s="122" t="s">
        <v>3455</v>
      </c>
      <c r="E367" s="123">
        <v>105</v>
      </c>
      <c r="F367" s="123">
        <v>0</v>
      </c>
      <c r="G367" s="123">
        <f t="shared" si="102"/>
        <v>0</v>
      </c>
      <c r="H367" s="123">
        <f t="shared" si="103"/>
        <v>0</v>
      </c>
      <c r="I367" s="123">
        <f t="shared" si="104"/>
        <v>0</v>
      </c>
      <c r="J367" s="123">
        <v>0.00028</v>
      </c>
      <c r="K367" s="123">
        <f t="shared" si="105"/>
        <v>0.0294</v>
      </c>
      <c r="M367" s="124" t="s">
        <v>7</v>
      </c>
      <c r="N367" s="123">
        <f t="shared" si="106"/>
        <v>0</v>
      </c>
      <c r="Y367" s="123">
        <f t="shared" si="107"/>
        <v>0</v>
      </c>
      <c r="Z367" s="123">
        <f t="shared" si="108"/>
        <v>0</v>
      </c>
      <c r="AA367" s="123">
        <f t="shared" si="109"/>
        <v>0</v>
      </c>
      <c r="AC367" s="125">
        <v>20</v>
      </c>
      <c r="AD367" s="125">
        <f>F367*0.0432381923207611</f>
        <v>0</v>
      </c>
      <c r="AE367" s="125">
        <f>F367*(1-0.0432381923207611)</f>
        <v>0</v>
      </c>
    </row>
    <row r="368" spans="1:31" s="90" customFormat="1" ht="11.25">
      <c r="A368" s="122" t="s">
        <v>263</v>
      </c>
      <c r="B368" s="122" t="s">
        <v>1346</v>
      </c>
      <c r="C368" s="122" t="s">
        <v>2481</v>
      </c>
      <c r="D368" s="122" t="s">
        <v>3455</v>
      </c>
      <c r="E368" s="123">
        <v>90</v>
      </c>
      <c r="F368" s="123">
        <v>0</v>
      </c>
      <c r="G368" s="123">
        <f t="shared" si="102"/>
        <v>0</v>
      </c>
      <c r="H368" s="123">
        <f t="shared" si="103"/>
        <v>0</v>
      </c>
      <c r="I368" s="123">
        <f t="shared" si="104"/>
        <v>0</v>
      </c>
      <c r="J368" s="123">
        <v>0.00028</v>
      </c>
      <c r="K368" s="123">
        <f t="shared" si="105"/>
        <v>0.025199999999999997</v>
      </c>
      <c r="M368" s="124" t="s">
        <v>7</v>
      </c>
      <c r="N368" s="123">
        <f t="shared" si="106"/>
        <v>0</v>
      </c>
      <c r="Y368" s="123">
        <f t="shared" si="107"/>
        <v>0</v>
      </c>
      <c r="Z368" s="123">
        <f t="shared" si="108"/>
        <v>0</v>
      </c>
      <c r="AA368" s="123">
        <f t="shared" si="109"/>
        <v>0</v>
      </c>
      <c r="AC368" s="125">
        <v>20</v>
      </c>
      <c r="AD368" s="125">
        <f>F368*0.0365241102181401</f>
        <v>0</v>
      </c>
      <c r="AE368" s="125">
        <f>F368*(1-0.0365241102181401)</f>
        <v>0</v>
      </c>
    </row>
    <row r="369" spans="1:31" s="90" customFormat="1" ht="11.25">
      <c r="A369" s="122" t="s">
        <v>264</v>
      </c>
      <c r="B369" s="122" t="s">
        <v>1347</v>
      </c>
      <c r="C369" s="122" t="s">
        <v>2482</v>
      </c>
      <c r="D369" s="122" t="s">
        <v>3455</v>
      </c>
      <c r="E369" s="123">
        <v>72</v>
      </c>
      <c r="F369" s="123">
        <v>0</v>
      </c>
      <c r="G369" s="123">
        <f t="shared" si="102"/>
        <v>0</v>
      </c>
      <c r="H369" s="123">
        <f t="shared" si="103"/>
        <v>0</v>
      </c>
      <c r="I369" s="123">
        <f t="shared" si="104"/>
        <v>0</v>
      </c>
      <c r="J369" s="123">
        <v>0.0003</v>
      </c>
      <c r="K369" s="123">
        <f t="shared" si="105"/>
        <v>0.021599999999999998</v>
      </c>
      <c r="M369" s="124" t="s">
        <v>7</v>
      </c>
      <c r="N369" s="123">
        <f t="shared" si="106"/>
        <v>0</v>
      </c>
      <c r="Y369" s="123">
        <f t="shared" si="107"/>
        <v>0</v>
      </c>
      <c r="Z369" s="123">
        <f t="shared" si="108"/>
        <v>0</v>
      </c>
      <c r="AA369" s="123">
        <f t="shared" si="109"/>
        <v>0</v>
      </c>
      <c r="AC369" s="125">
        <v>20</v>
      </c>
      <c r="AD369" s="125">
        <f>F369*0.0339280125195618</f>
        <v>0</v>
      </c>
      <c r="AE369" s="125">
        <f>F369*(1-0.0339280125195618)</f>
        <v>0</v>
      </c>
    </row>
    <row r="370" spans="1:31" s="90" customFormat="1" ht="11.25">
      <c r="A370" s="122" t="s">
        <v>265</v>
      </c>
      <c r="B370" s="122" t="s">
        <v>1348</v>
      </c>
      <c r="C370" s="122" t="s">
        <v>2483</v>
      </c>
      <c r="D370" s="122" t="s">
        <v>3455</v>
      </c>
      <c r="E370" s="123">
        <v>19</v>
      </c>
      <c r="F370" s="123">
        <v>0</v>
      </c>
      <c r="G370" s="123">
        <f t="shared" si="102"/>
        <v>0</v>
      </c>
      <c r="H370" s="123">
        <f t="shared" si="103"/>
        <v>0</v>
      </c>
      <c r="I370" s="123">
        <f t="shared" si="104"/>
        <v>0</v>
      </c>
      <c r="J370" s="123">
        <v>0.0003</v>
      </c>
      <c r="K370" s="123">
        <f t="shared" si="105"/>
        <v>0.005699999999999999</v>
      </c>
      <c r="M370" s="124" t="s">
        <v>7</v>
      </c>
      <c r="N370" s="123">
        <f t="shared" si="106"/>
        <v>0</v>
      </c>
      <c r="Y370" s="123">
        <f t="shared" si="107"/>
        <v>0</v>
      </c>
      <c r="Z370" s="123">
        <f t="shared" si="108"/>
        <v>0</v>
      </c>
      <c r="AA370" s="123">
        <f t="shared" si="109"/>
        <v>0</v>
      </c>
      <c r="AC370" s="125">
        <v>20</v>
      </c>
      <c r="AD370" s="125">
        <f>F370*0.0279280671922502</f>
        <v>0</v>
      </c>
      <c r="AE370" s="125">
        <f>F370*(1-0.0279280671922502)</f>
        <v>0</v>
      </c>
    </row>
    <row r="371" spans="1:31" s="90" customFormat="1" ht="11.25">
      <c r="A371" s="122" t="s">
        <v>266</v>
      </c>
      <c r="B371" s="122" t="s">
        <v>1349</v>
      </c>
      <c r="C371" s="122" t="s">
        <v>2484</v>
      </c>
      <c r="D371" s="122" t="s">
        <v>3455</v>
      </c>
      <c r="E371" s="123">
        <v>3</v>
      </c>
      <c r="F371" s="123">
        <v>0</v>
      </c>
      <c r="G371" s="123">
        <f t="shared" si="102"/>
        <v>0</v>
      </c>
      <c r="H371" s="123">
        <f t="shared" si="103"/>
        <v>0</v>
      </c>
      <c r="I371" s="123">
        <f t="shared" si="104"/>
        <v>0</v>
      </c>
      <c r="J371" s="123">
        <v>0.0003</v>
      </c>
      <c r="K371" s="123">
        <f t="shared" si="105"/>
        <v>0.0009</v>
      </c>
      <c r="M371" s="124" t="s">
        <v>7</v>
      </c>
      <c r="N371" s="123">
        <f t="shared" si="106"/>
        <v>0</v>
      </c>
      <c r="Y371" s="123">
        <f t="shared" si="107"/>
        <v>0</v>
      </c>
      <c r="Z371" s="123">
        <f t="shared" si="108"/>
        <v>0</v>
      </c>
      <c r="AA371" s="123">
        <f t="shared" si="109"/>
        <v>0</v>
      </c>
      <c r="AC371" s="125">
        <v>20</v>
      </c>
      <c r="AD371" s="125">
        <f>F371*0.0241975088173579</f>
        <v>0</v>
      </c>
      <c r="AE371" s="125">
        <f>F371*(1-0.0241975088173579)</f>
        <v>0</v>
      </c>
    </row>
    <row r="372" spans="1:31" s="90" customFormat="1" ht="11.25">
      <c r="A372" s="122" t="s">
        <v>267</v>
      </c>
      <c r="B372" s="122" t="s">
        <v>1350</v>
      </c>
      <c r="C372" s="122" t="s">
        <v>2485</v>
      </c>
      <c r="D372" s="122" t="s">
        <v>3455</v>
      </c>
      <c r="E372" s="123">
        <v>135</v>
      </c>
      <c r="F372" s="123">
        <v>0</v>
      </c>
      <c r="G372" s="123">
        <f t="shared" si="102"/>
        <v>0</v>
      </c>
      <c r="H372" s="123">
        <f t="shared" si="103"/>
        <v>0</v>
      </c>
      <c r="I372" s="123">
        <f t="shared" si="104"/>
        <v>0</v>
      </c>
      <c r="J372" s="123">
        <v>2E-05</v>
      </c>
      <c r="K372" s="123">
        <f t="shared" si="105"/>
        <v>0.0027</v>
      </c>
      <c r="M372" s="124" t="s">
        <v>7</v>
      </c>
      <c r="N372" s="123">
        <f t="shared" si="106"/>
        <v>0</v>
      </c>
      <c r="Y372" s="123">
        <f t="shared" si="107"/>
        <v>0</v>
      </c>
      <c r="Z372" s="123">
        <f t="shared" si="108"/>
        <v>0</v>
      </c>
      <c r="AA372" s="123">
        <f t="shared" si="109"/>
        <v>0</v>
      </c>
      <c r="AC372" s="125">
        <v>20</v>
      </c>
      <c r="AD372" s="125">
        <f>F372*0.286277408228628</f>
        <v>0</v>
      </c>
      <c r="AE372" s="125">
        <f>F372*(1-0.286277408228628)</f>
        <v>0</v>
      </c>
    </row>
    <row r="373" spans="1:31" s="90" customFormat="1" ht="11.25">
      <c r="A373" s="122" t="s">
        <v>268</v>
      </c>
      <c r="B373" s="122" t="s">
        <v>1351</v>
      </c>
      <c r="C373" s="122" t="s">
        <v>2486</v>
      </c>
      <c r="D373" s="122" t="s">
        <v>3455</v>
      </c>
      <c r="E373" s="123">
        <v>105</v>
      </c>
      <c r="F373" s="123">
        <v>0</v>
      </c>
      <c r="G373" s="123">
        <f t="shared" si="102"/>
        <v>0</v>
      </c>
      <c r="H373" s="123">
        <f t="shared" si="103"/>
        <v>0</v>
      </c>
      <c r="I373" s="123">
        <f t="shared" si="104"/>
        <v>0</v>
      </c>
      <c r="J373" s="123">
        <v>6E-05</v>
      </c>
      <c r="K373" s="123">
        <f t="shared" si="105"/>
        <v>0.0063</v>
      </c>
      <c r="M373" s="124" t="s">
        <v>7</v>
      </c>
      <c r="N373" s="123">
        <f t="shared" si="106"/>
        <v>0</v>
      </c>
      <c r="Y373" s="123">
        <f t="shared" si="107"/>
        <v>0</v>
      </c>
      <c r="Z373" s="123">
        <f t="shared" si="108"/>
        <v>0</v>
      </c>
      <c r="AA373" s="123">
        <f t="shared" si="109"/>
        <v>0</v>
      </c>
      <c r="AC373" s="125">
        <v>20</v>
      </c>
      <c r="AD373" s="125">
        <f>F373*0.302935514918191</f>
        <v>0</v>
      </c>
      <c r="AE373" s="125">
        <f>F373*(1-0.302935514918191)</f>
        <v>0</v>
      </c>
    </row>
    <row r="374" spans="1:31" s="90" customFormat="1" ht="11.25">
      <c r="A374" s="122" t="s">
        <v>269</v>
      </c>
      <c r="B374" s="122" t="s">
        <v>1352</v>
      </c>
      <c r="C374" s="122" t="s">
        <v>2487</v>
      </c>
      <c r="D374" s="122" t="s">
        <v>3455</v>
      </c>
      <c r="E374" s="123">
        <v>96</v>
      </c>
      <c r="F374" s="123">
        <v>0</v>
      </c>
      <c r="G374" s="123">
        <f t="shared" si="102"/>
        <v>0</v>
      </c>
      <c r="H374" s="123">
        <f t="shared" si="103"/>
        <v>0</v>
      </c>
      <c r="I374" s="123">
        <f t="shared" si="104"/>
        <v>0</v>
      </c>
      <c r="J374" s="123">
        <v>5E-05</v>
      </c>
      <c r="K374" s="123">
        <f t="shared" si="105"/>
        <v>0.0048000000000000004</v>
      </c>
      <c r="M374" s="124" t="s">
        <v>7</v>
      </c>
      <c r="N374" s="123">
        <f t="shared" si="106"/>
        <v>0</v>
      </c>
      <c r="Y374" s="123">
        <f t="shared" si="107"/>
        <v>0</v>
      </c>
      <c r="Z374" s="123">
        <f t="shared" si="108"/>
        <v>0</v>
      </c>
      <c r="AA374" s="123">
        <f t="shared" si="109"/>
        <v>0</v>
      </c>
      <c r="AC374" s="125">
        <v>20</v>
      </c>
      <c r="AD374" s="125">
        <f>F374*0.317997004065911</f>
        <v>0</v>
      </c>
      <c r="AE374" s="125">
        <f>F374*(1-0.317997004065911)</f>
        <v>0</v>
      </c>
    </row>
    <row r="375" spans="1:31" s="90" customFormat="1" ht="11.25">
      <c r="A375" s="122" t="s">
        <v>270</v>
      </c>
      <c r="B375" s="122" t="s">
        <v>1353</v>
      </c>
      <c r="C375" s="122" t="s">
        <v>2488</v>
      </c>
      <c r="D375" s="122" t="s">
        <v>3455</v>
      </c>
      <c r="E375" s="123">
        <v>72</v>
      </c>
      <c r="F375" s="123">
        <v>0</v>
      </c>
      <c r="G375" s="123">
        <f t="shared" si="102"/>
        <v>0</v>
      </c>
      <c r="H375" s="123">
        <f t="shared" si="103"/>
        <v>0</v>
      </c>
      <c r="I375" s="123">
        <f t="shared" si="104"/>
        <v>0</v>
      </c>
      <c r="J375" s="123">
        <v>0.0001</v>
      </c>
      <c r="K375" s="123">
        <f t="shared" si="105"/>
        <v>0.007200000000000001</v>
      </c>
      <c r="M375" s="124" t="s">
        <v>7</v>
      </c>
      <c r="N375" s="123">
        <f t="shared" si="106"/>
        <v>0</v>
      </c>
      <c r="Y375" s="123">
        <f t="shared" si="107"/>
        <v>0</v>
      </c>
      <c r="Z375" s="123">
        <f t="shared" si="108"/>
        <v>0</v>
      </c>
      <c r="AA375" s="123">
        <f t="shared" si="109"/>
        <v>0</v>
      </c>
      <c r="AC375" s="125">
        <v>20</v>
      </c>
      <c r="AD375" s="125">
        <f>F375*0.312243702401875</f>
        <v>0</v>
      </c>
      <c r="AE375" s="125">
        <f>F375*(1-0.312243702401875)</f>
        <v>0</v>
      </c>
    </row>
    <row r="376" spans="1:31" s="90" customFormat="1" ht="11.25">
      <c r="A376" s="122" t="s">
        <v>271</v>
      </c>
      <c r="B376" s="122" t="s">
        <v>1354</v>
      </c>
      <c r="C376" s="122" t="s">
        <v>2489</v>
      </c>
      <c r="D376" s="122" t="s">
        <v>3455</v>
      </c>
      <c r="E376" s="123">
        <v>19</v>
      </c>
      <c r="F376" s="123">
        <v>0</v>
      </c>
      <c r="G376" s="123">
        <f t="shared" si="102"/>
        <v>0</v>
      </c>
      <c r="H376" s="123">
        <f t="shared" si="103"/>
        <v>0</v>
      </c>
      <c r="I376" s="123">
        <f t="shared" si="104"/>
        <v>0</v>
      </c>
      <c r="J376" s="123">
        <v>0.00012</v>
      </c>
      <c r="K376" s="123">
        <f t="shared" si="105"/>
        <v>0.00228</v>
      </c>
      <c r="M376" s="124" t="s">
        <v>7</v>
      </c>
      <c r="N376" s="123">
        <f t="shared" si="106"/>
        <v>0</v>
      </c>
      <c r="Y376" s="123">
        <f t="shared" si="107"/>
        <v>0</v>
      </c>
      <c r="Z376" s="123">
        <f t="shared" si="108"/>
        <v>0</v>
      </c>
      <c r="AA376" s="123">
        <f t="shared" si="109"/>
        <v>0</v>
      </c>
      <c r="AC376" s="125">
        <v>20</v>
      </c>
      <c r="AD376" s="125">
        <f>F376*0.400721500721501</f>
        <v>0</v>
      </c>
      <c r="AE376" s="125">
        <f>F376*(1-0.400721500721501)</f>
        <v>0</v>
      </c>
    </row>
    <row r="377" spans="1:31" s="90" customFormat="1" ht="11.25">
      <c r="A377" s="122" t="s">
        <v>272</v>
      </c>
      <c r="B377" s="122" t="s">
        <v>1355</v>
      </c>
      <c r="C377" s="122" t="s">
        <v>2490</v>
      </c>
      <c r="D377" s="122" t="s">
        <v>3455</v>
      </c>
      <c r="E377" s="123">
        <v>3</v>
      </c>
      <c r="F377" s="123">
        <v>0</v>
      </c>
      <c r="G377" s="123">
        <f t="shared" si="102"/>
        <v>0</v>
      </c>
      <c r="H377" s="123">
        <f t="shared" si="103"/>
        <v>0</v>
      </c>
      <c r="I377" s="123">
        <f t="shared" si="104"/>
        <v>0</v>
      </c>
      <c r="J377" s="123">
        <v>0.00019</v>
      </c>
      <c r="K377" s="123">
        <f t="shared" si="105"/>
        <v>0.00057</v>
      </c>
      <c r="M377" s="124" t="s">
        <v>7</v>
      </c>
      <c r="N377" s="123">
        <f t="shared" si="106"/>
        <v>0</v>
      </c>
      <c r="Y377" s="123">
        <f t="shared" si="107"/>
        <v>0</v>
      </c>
      <c r="Z377" s="123">
        <f t="shared" si="108"/>
        <v>0</v>
      </c>
      <c r="AA377" s="123">
        <f t="shared" si="109"/>
        <v>0</v>
      </c>
      <c r="AC377" s="125">
        <v>20</v>
      </c>
      <c r="AD377" s="125">
        <f>F377*0.421927338314867</f>
        <v>0</v>
      </c>
      <c r="AE377" s="125">
        <f>F377*(1-0.421927338314867)</f>
        <v>0</v>
      </c>
    </row>
    <row r="378" spans="1:31" s="90" customFormat="1" ht="11.25">
      <c r="A378" s="122" t="s">
        <v>273</v>
      </c>
      <c r="B378" s="122" t="s">
        <v>1356</v>
      </c>
      <c r="C378" s="122" t="s">
        <v>2491</v>
      </c>
      <c r="D378" s="122" t="s">
        <v>3456</v>
      </c>
      <c r="E378" s="123">
        <v>9</v>
      </c>
      <c r="F378" s="123">
        <v>0</v>
      </c>
      <c r="G378" s="123">
        <f t="shared" si="102"/>
        <v>0</v>
      </c>
      <c r="H378" s="123">
        <f t="shared" si="103"/>
        <v>0</v>
      </c>
      <c r="I378" s="123">
        <f t="shared" si="104"/>
        <v>0</v>
      </c>
      <c r="J378" s="123">
        <v>0</v>
      </c>
      <c r="K378" s="123">
        <f t="shared" si="105"/>
        <v>0</v>
      </c>
      <c r="M378" s="124" t="s">
        <v>7</v>
      </c>
      <c r="N378" s="123">
        <f t="shared" si="106"/>
        <v>0</v>
      </c>
      <c r="Y378" s="123">
        <f t="shared" si="107"/>
        <v>0</v>
      </c>
      <c r="Z378" s="123">
        <f t="shared" si="108"/>
        <v>0</v>
      </c>
      <c r="AA378" s="123">
        <f t="shared" si="109"/>
        <v>0</v>
      </c>
      <c r="AC378" s="125">
        <v>20</v>
      </c>
      <c r="AD378" s="125">
        <f>F378*0</f>
        <v>0</v>
      </c>
      <c r="AE378" s="125">
        <f>F378*(1-0)</f>
        <v>0</v>
      </c>
    </row>
    <row r="379" spans="1:31" s="90" customFormat="1" ht="11.25">
      <c r="A379" s="122" t="s">
        <v>274</v>
      </c>
      <c r="B379" s="122" t="s">
        <v>1357</v>
      </c>
      <c r="C379" s="122" t="s">
        <v>2492</v>
      </c>
      <c r="D379" s="122" t="s">
        <v>3456</v>
      </c>
      <c r="E379" s="123">
        <v>4</v>
      </c>
      <c r="F379" s="123">
        <v>0</v>
      </c>
      <c r="G379" s="123">
        <f t="shared" si="102"/>
        <v>0</v>
      </c>
      <c r="H379" s="123">
        <f t="shared" si="103"/>
        <v>0</v>
      </c>
      <c r="I379" s="123">
        <f t="shared" si="104"/>
        <v>0</v>
      </c>
      <c r="J379" s="123">
        <v>0</v>
      </c>
      <c r="K379" s="123">
        <f t="shared" si="105"/>
        <v>0</v>
      </c>
      <c r="M379" s="124" t="s">
        <v>7</v>
      </c>
      <c r="N379" s="123">
        <f t="shared" si="106"/>
        <v>0</v>
      </c>
      <c r="Y379" s="123">
        <f t="shared" si="107"/>
        <v>0</v>
      </c>
      <c r="Z379" s="123">
        <f t="shared" si="108"/>
        <v>0</v>
      </c>
      <c r="AA379" s="123">
        <f t="shared" si="109"/>
        <v>0</v>
      </c>
      <c r="AC379" s="125">
        <v>20</v>
      </c>
      <c r="AD379" s="125">
        <f>F379*0</f>
        <v>0</v>
      </c>
      <c r="AE379" s="125">
        <f>F379*(1-0)</f>
        <v>0</v>
      </c>
    </row>
    <row r="380" spans="1:31" s="90" customFormat="1" ht="11.25">
      <c r="A380" s="122" t="s">
        <v>275</v>
      </c>
      <c r="B380" s="122" t="s">
        <v>1358</v>
      </c>
      <c r="C380" s="122" t="s">
        <v>2493</v>
      </c>
      <c r="D380" s="122" t="s">
        <v>3456</v>
      </c>
      <c r="E380" s="123">
        <v>2</v>
      </c>
      <c r="F380" s="123">
        <v>0</v>
      </c>
      <c r="G380" s="123">
        <f t="shared" si="102"/>
        <v>0</v>
      </c>
      <c r="H380" s="123">
        <f t="shared" si="103"/>
        <v>0</v>
      </c>
      <c r="I380" s="123">
        <f t="shared" si="104"/>
        <v>0</v>
      </c>
      <c r="J380" s="123">
        <v>0.00065</v>
      </c>
      <c r="K380" s="123">
        <f t="shared" si="105"/>
        <v>0.0013</v>
      </c>
      <c r="M380" s="124" t="s">
        <v>7</v>
      </c>
      <c r="N380" s="123">
        <f t="shared" si="106"/>
        <v>0</v>
      </c>
      <c r="Y380" s="123">
        <f t="shared" si="107"/>
        <v>0</v>
      </c>
      <c r="Z380" s="123">
        <f t="shared" si="108"/>
        <v>0</v>
      </c>
      <c r="AA380" s="123">
        <f t="shared" si="109"/>
        <v>0</v>
      </c>
      <c r="AC380" s="125">
        <v>20</v>
      </c>
      <c r="AD380" s="125">
        <f>F380*0.473225946887244</f>
        <v>0</v>
      </c>
      <c r="AE380" s="125">
        <f>F380*(1-0.473225946887244)</f>
        <v>0</v>
      </c>
    </row>
    <row r="381" spans="1:31" s="90" customFormat="1" ht="11.25">
      <c r="A381" s="122" t="s">
        <v>276</v>
      </c>
      <c r="B381" s="122" t="s">
        <v>1359</v>
      </c>
      <c r="C381" s="122" t="s">
        <v>2494</v>
      </c>
      <c r="D381" s="122" t="s">
        <v>3462</v>
      </c>
      <c r="E381" s="123">
        <v>1</v>
      </c>
      <c r="F381" s="123">
        <v>0</v>
      </c>
      <c r="G381" s="123">
        <f t="shared" si="102"/>
        <v>0</v>
      </c>
      <c r="H381" s="123">
        <f t="shared" si="103"/>
        <v>0</v>
      </c>
      <c r="I381" s="123">
        <f t="shared" si="104"/>
        <v>0</v>
      </c>
      <c r="J381" s="123">
        <v>0.0017</v>
      </c>
      <c r="K381" s="123">
        <f t="shared" si="105"/>
        <v>0.0017</v>
      </c>
      <c r="M381" s="124" t="s">
        <v>7</v>
      </c>
      <c r="N381" s="123">
        <f t="shared" si="106"/>
        <v>0</v>
      </c>
      <c r="Y381" s="123">
        <f t="shared" si="107"/>
        <v>0</v>
      </c>
      <c r="Z381" s="123">
        <f t="shared" si="108"/>
        <v>0</v>
      </c>
      <c r="AA381" s="123">
        <f t="shared" si="109"/>
        <v>0</v>
      </c>
      <c r="AC381" s="125">
        <v>20</v>
      </c>
      <c r="AD381" s="125">
        <f>F381*0.536316648531012</f>
        <v>0</v>
      </c>
      <c r="AE381" s="125">
        <f>F381*(1-0.536316648531012)</f>
        <v>0</v>
      </c>
    </row>
    <row r="382" spans="1:31" s="90" customFormat="1" ht="11.25">
      <c r="A382" s="122" t="s">
        <v>277</v>
      </c>
      <c r="B382" s="122" t="s">
        <v>1360</v>
      </c>
      <c r="C382" s="122" t="s">
        <v>2495</v>
      </c>
      <c r="D382" s="122" t="s">
        <v>3456</v>
      </c>
      <c r="E382" s="123">
        <v>2</v>
      </c>
      <c r="F382" s="123">
        <v>0</v>
      </c>
      <c r="G382" s="123">
        <f t="shared" si="102"/>
        <v>0</v>
      </c>
      <c r="H382" s="123">
        <f t="shared" si="103"/>
        <v>0</v>
      </c>
      <c r="I382" s="123">
        <f t="shared" si="104"/>
        <v>0</v>
      </c>
      <c r="J382" s="123">
        <v>0.00017</v>
      </c>
      <c r="K382" s="123">
        <f t="shared" si="105"/>
        <v>0.00034</v>
      </c>
      <c r="M382" s="124" t="s">
        <v>7</v>
      </c>
      <c r="N382" s="123">
        <f t="shared" si="106"/>
        <v>0</v>
      </c>
      <c r="Y382" s="123">
        <f t="shared" si="107"/>
        <v>0</v>
      </c>
      <c r="Z382" s="123">
        <f t="shared" si="108"/>
        <v>0</v>
      </c>
      <c r="AA382" s="123">
        <f t="shared" si="109"/>
        <v>0</v>
      </c>
      <c r="AC382" s="125">
        <v>20</v>
      </c>
      <c r="AD382" s="125">
        <f>F382*0.824504122112481</f>
        <v>0</v>
      </c>
      <c r="AE382" s="125">
        <f>F382*(1-0.824504122112481)</f>
        <v>0</v>
      </c>
    </row>
    <row r="383" spans="1:31" s="90" customFormat="1" ht="11.25">
      <c r="A383" s="122" t="s">
        <v>278</v>
      </c>
      <c r="B383" s="122" t="s">
        <v>1361</v>
      </c>
      <c r="C383" s="122" t="s">
        <v>2496</v>
      </c>
      <c r="D383" s="122" t="s">
        <v>3456</v>
      </c>
      <c r="E383" s="123">
        <v>3</v>
      </c>
      <c r="F383" s="123">
        <v>0</v>
      </c>
      <c r="G383" s="123">
        <f t="shared" si="102"/>
        <v>0</v>
      </c>
      <c r="H383" s="123">
        <f t="shared" si="103"/>
        <v>0</v>
      </c>
      <c r="I383" s="123">
        <f t="shared" si="104"/>
        <v>0</v>
      </c>
      <c r="J383" s="123">
        <v>0.00017</v>
      </c>
      <c r="K383" s="123">
        <f t="shared" si="105"/>
        <v>0.00051</v>
      </c>
      <c r="M383" s="124" t="s">
        <v>7</v>
      </c>
      <c r="N383" s="123">
        <f t="shared" si="106"/>
        <v>0</v>
      </c>
      <c r="Y383" s="123">
        <f t="shared" si="107"/>
        <v>0</v>
      </c>
      <c r="Z383" s="123">
        <f t="shared" si="108"/>
        <v>0</v>
      </c>
      <c r="AA383" s="123">
        <f t="shared" si="109"/>
        <v>0</v>
      </c>
      <c r="AC383" s="125">
        <v>20</v>
      </c>
      <c r="AD383" s="125">
        <f>F383*0.823088904864606</f>
        <v>0</v>
      </c>
      <c r="AE383" s="125">
        <f>F383*(1-0.823088904864606)</f>
        <v>0</v>
      </c>
    </row>
    <row r="384" spans="1:31" s="90" customFormat="1" ht="11.25">
      <c r="A384" s="122" t="s">
        <v>279</v>
      </c>
      <c r="B384" s="122" t="s">
        <v>1362</v>
      </c>
      <c r="C384" s="122" t="s">
        <v>2497</v>
      </c>
      <c r="D384" s="122" t="s">
        <v>3456</v>
      </c>
      <c r="E384" s="123">
        <v>9</v>
      </c>
      <c r="F384" s="123">
        <v>0</v>
      </c>
      <c r="G384" s="123">
        <f t="shared" si="102"/>
        <v>0</v>
      </c>
      <c r="H384" s="123">
        <f t="shared" si="103"/>
        <v>0</v>
      </c>
      <c r="I384" s="123">
        <f t="shared" si="104"/>
        <v>0</v>
      </c>
      <c r="J384" s="123">
        <v>4E-05</v>
      </c>
      <c r="K384" s="123">
        <f t="shared" si="105"/>
        <v>0.00036</v>
      </c>
      <c r="M384" s="124" t="s">
        <v>7</v>
      </c>
      <c r="N384" s="123">
        <f t="shared" si="106"/>
        <v>0</v>
      </c>
      <c r="Y384" s="123">
        <f t="shared" si="107"/>
        <v>0</v>
      </c>
      <c r="Z384" s="123">
        <f t="shared" si="108"/>
        <v>0</v>
      </c>
      <c r="AA384" s="123">
        <f t="shared" si="109"/>
        <v>0</v>
      </c>
      <c r="AC384" s="125">
        <v>20</v>
      </c>
      <c r="AD384" s="125">
        <f>F384*0.398975344220301</f>
        <v>0</v>
      </c>
      <c r="AE384" s="125">
        <f>F384*(1-0.398975344220301)</f>
        <v>0</v>
      </c>
    </row>
    <row r="385" spans="1:31" s="90" customFormat="1" ht="11.25">
      <c r="A385" s="122" t="s">
        <v>280</v>
      </c>
      <c r="B385" s="122" t="s">
        <v>1363</v>
      </c>
      <c r="C385" s="122" t="s">
        <v>2498</v>
      </c>
      <c r="D385" s="122" t="s">
        <v>3456</v>
      </c>
      <c r="E385" s="123">
        <v>14</v>
      </c>
      <c r="F385" s="123">
        <v>0</v>
      </c>
      <c r="G385" s="123">
        <f t="shared" si="102"/>
        <v>0</v>
      </c>
      <c r="H385" s="123">
        <f t="shared" si="103"/>
        <v>0</v>
      </c>
      <c r="I385" s="123">
        <f t="shared" si="104"/>
        <v>0</v>
      </c>
      <c r="J385" s="123">
        <v>7E-05</v>
      </c>
      <c r="K385" s="123">
        <f t="shared" si="105"/>
        <v>0.00098</v>
      </c>
      <c r="M385" s="124" t="s">
        <v>7</v>
      </c>
      <c r="N385" s="123">
        <f t="shared" si="106"/>
        <v>0</v>
      </c>
      <c r="Y385" s="123">
        <f t="shared" si="107"/>
        <v>0</v>
      </c>
      <c r="Z385" s="123">
        <f t="shared" si="108"/>
        <v>0</v>
      </c>
      <c r="AA385" s="123">
        <f t="shared" si="109"/>
        <v>0</v>
      </c>
      <c r="AC385" s="125">
        <v>20</v>
      </c>
      <c r="AD385" s="125">
        <f>F385*0.378954687681075</f>
        <v>0</v>
      </c>
      <c r="AE385" s="125">
        <f>F385*(1-0.378954687681075)</f>
        <v>0</v>
      </c>
    </row>
    <row r="386" spans="1:31" s="90" customFormat="1" ht="11.25">
      <c r="A386" s="122" t="s">
        <v>281</v>
      </c>
      <c r="B386" s="122" t="s">
        <v>1364</v>
      </c>
      <c r="C386" s="122" t="s">
        <v>2499</v>
      </c>
      <c r="D386" s="122" t="s">
        <v>3456</v>
      </c>
      <c r="E386" s="123">
        <v>19</v>
      </c>
      <c r="F386" s="123">
        <v>0</v>
      </c>
      <c r="G386" s="123">
        <f t="shared" si="102"/>
        <v>0</v>
      </c>
      <c r="H386" s="123">
        <f t="shared" si="103"/>
        <v>0</v>
      </c>
      <c r="I386" s="123">
        <f t="shared" si="104"/>
        <v>0</v>
      </c>
      <c r="J386" s="123">
        <v>0</v>
      </c>
      <c r="K386" s="123">
        <f t="shared" si="105"/>
        <v>0</v>
      </c>
      <c r="M386" s="124" t="s">
        <v>7</v>
      </c>
      <c r="N386" s="123">
        <f t="shared" si="106"/>
        <v>0</v>
      </c>
      <c r="Y386" s="123">
        <f t="shared" si="107"/>
        <v>0</v>
      </c>
      <c r="Z386" s="123">
        <f t="shared" si="108"/>
        <v>0</v>
      </c>
      <c r="AA386" s="123">
        <f t="shared" si="109"/>
        <v>0</v>
      </c>
      <c r="AC386" s="125">
        <v>20</v>
      </c>
      <c r="AD386" s="125">
        <f>F386*0.0748847926267281</f>
        <v>0</v>
      </c>
      <c r="AE386" s="125">
        <f>F386*(1-0.0748847926267281)</f>
        <v>0</v>
      </c>
    </row>
    <row r="387" spans="1:31" s="90" customFormat="1" ht="11.25">
      <c r="A387" s="122" t="s">
        <v>282</v>
      </c>
      <c r="B387" s="122" t="s">
        <v>1365</v>
      </c>
      <c r="C387" s="122" t="s">
        <v>2500</v>
      </c>
      <c r="D387" s="122" t="s">
        <v>3456</v>
      </c>
      <c r="E387" s="123">
        <v>6</v>
      </c>
      <c r="F387" s="123">
        <v>0</v>
      </c>
      <c r="G387" s="123">
        <f t="shared" si="102"/>
        <v>0</v>
      </c>
      <c r="H387" s="123">
        <f t="shared" si="103"/>
        <v>0</v>
      </c>
      <c r="I387" s="123">
        <f t="shared" si="104"/>
        <v>0</v>
      </c>
      <c r="J387" s="123">
        <v>0</v>
      </c>
      <c r="K387" s="123">
        <f t="shared" si="105"/>
        <v>0</v>
      </c>
      <c r="M387" s="124" t="s">
        <v>7</v>
      </c>
      <c r="N387" s="123">
        <f t="shared" si="106"/>
        <v>0</v>
      </c>
      <c r="Y387" s="123">
        <f t="shared" si="107"/>
        <v>0</v>
      </c>
      <c r="Z387" s="123">
        <f t="shared" si="108"/>
        <v>0</v>
      </c>
      <c r="AA387" s="123">
        <f t="shared" si="109"/>
        <v>0</v>
      </c>
      <c r="AC387" s="125">
        <v>20</v>
      </c>
      <c r="AD387" s="125">
        <f>F387*0.0941399891481281</f>
        <v>0</v>
      </c>
      <c r="AE387" s="125">
        <f>F387*(1-0.0941399891481281)</f>
        <v>0</v>
      </c>
    </row>
    <row r="388" spans="1:31" s="90" customFormat="1" ht="11.25">
      <c r="A388" s="122" t="s">
        <v>283</v>
      </c>
      <c r="B388" s="122" t="s">
        <v>1366</v>
      </c>
      <c r="C388" s="122" t="s">
        <v>2501</v>
      </c>
      <c r="D388" s="122" t="s">
        <v>3456</v>
      </c>
      <c r="E388" s="123">
        <v>2</v>
      </c>
      <c r="F388" s="123">
        <v>0</v>
      </c>
      <c r="G388" s="123">
        <f t="shared" si="102"/>
        <v>0</v>
      </c>
      <c r="H388" s="123">
        <f t="shared" si="103"/>
        <v>0</v>
      </c>
      <c r="I388" s="123">
        <f t="shared" si="104"/>
        <v>0</v>
      </c>
      <c r="J388" s="123">
        <v>0</v>
      </c>
      <c r="K388" s="123">
        <f t="shared" si="105"/>
        <v>0</v>
      </c>
      <c r="M388" s="124" t="s">
        <v>7</v>
      </c>
      <c r="N388" s="123">
        <f t="shared" si="106"/>
        <v>0</v>
      </c>
      <c r="Y388" s="123">
        <f t="shared" si="107"/>
        <v>0</v>
      </c>
      <c r="Z388" s="123">
        <f t="shared" si="108"/>
        <v>0</v>
      </c>
      <c r="AA388" s="123">
        <f t="shared" si="109"/>
        <v>0</v>
      </c>
      <c r="AC388" s="125">
        <v>20</v>
      </c>
      <c r="AD388" s="125">
        <f>F388*0.120659062103929</f>
        <v>0</v>
      </c>
      <c r="AE388" s="125">
        <f>F388*(1-0.120659062103929)</f>
        <v>0</v>
      </c>
    </row>
    <row r="389" spans="1:31" s="90" customFormat="1" ht="11.25">
      <c r="A389" s="122" t="s">
        <v>284</v>
      </c>
      <c r="B389" s="122" t="s">
        <v>1367</v>
      </c>
      <c r="C389" s="122" t="s">
        <v>2502</v>
      </c>
      <c r="D389" s="122" t="s">
        <v>3456</v>
      </c>
      <c r="E389" s="123">
        <v>3</v>
      </c>
      <c r="F389" s="123">
        <v>0</v>
      </c>
      <c r="G389" s="123">
        <f t="shared" si="102"/>
        <v>0</v>
      </c>
      <c r="H389" s="123">
        <f t="shared" si="103"/>
        <v>0</v>
      </c>
      <c r="I389" s="123">
        <f t="shared" si="104"/>
        <v>0</v>
      </c>
      <c r="J389" s="123">
        <v>0</v>
      </c>
      <c r="K389" s="123">
        <f t="shared" si="105"/>
        <v>0</v>
      </c>
      <c r="M389" s="124" t="s">
        <v>7</v>
      </c>
      <c r="N389" s="123">
        <f t="shared" si="106"/>
        <v>0</v>
      </c>
      <c r="Y389" s="123">
        <f t="shared" si="107"/>
        <v>0</v>
      </c>
      <c r="Z389" s="123">
        <f t="shared" si="108"/>
        <v>0</v>
      </c>
      <c r="AA389" s="123">
        <f t="shared" si="109"/>
        <v>0</v>
      </c>
      <c r="AC389" s="125">
        <v>20</v>
      </c>
      <c r="AD389" s="125">
        <f>F389*0.170146785197436</f>
        <v>0</v>
      </c>
      <c r="AE389" s="125">
        <f>F389*(1-0.170146785197436)</f>
        <v>0</v>
      </c>
    </row>
    <row r="390" spans="1:31" s="90" customFormat="1" ht="11.25">
      <c r="A390" s="122" t="s">
        <v>285</v>
      </c>
      <c r="B390" s="122" t="s">
        <v>1368</v>
      </c>
      <c r="C390" s="122" t="s">
        <v>2503</v>
      </c>
      <c r="D390" s="122" t="s">
        <v>3463</v>
      </c>
      <c r="E390" s="123">
        <v>1</v>
      </c>
      <c r="F390" s="123">
        <v>0</v>
      </c>
      <c r="G390" s="123">
        <f t="shared" si="102"/>
        <v>0</v>
      </c>
      <c r="H390" s="123">
        <f t="shared" si="103"/>
        <v>0</v>
      </c>
      <c r="I390" s="123">
        <f t="shared" si="104"/>
        <v>0</v>
      </c>
      <c r="J390" s="123">
        <v>0.03782</v>
      </c>
      <c r="K390" s="123">
        <f t="shared" si="105"/>
        <v>0.03782</v>
      </c>
      <c r="M390" s="124" t="s">
        <v>7</v>
      </c>
      <c r="N390" s="123">
        <f t="shared" si="106"/>
        <v>0</v>
      </c>
      <c r="Y390" s="123">
        <f t="shared" si="107"/>
        <v>0</v>
      </c>
      <c r="Z390" s="123">
        <f t="shared" si="108"/>
        <v>0</v>
      </c>
      <c r="AA390" s="123">
        <f t="shared" si="109"/>
        <v>0</v>
      </c>
      <c r="AC390" s="125">
        <v>20</v>
      </c>
      <c r="AD390" s="125">
        <f>F390*0.960423822154661</f>
        <v>0</v>
      </c>
      <c r="AE390" s="125">
        <f>F390*(1-0.960423822154661)</f>
        <v>0</v>
      </c>
    </row>
    <row r="391" s="90" customFormat="1" ht="11.25">
      <c r="C391" s="126" t="s">
        <v>2504</v>
      </c>
    </row>
    <row r="392" spans="1:31" s="90" customFormat="1" ht="11.25">
      <c r="A392" s="122" t="s">
        <v>286</v>
      </c>
      <c r="B392" s="122" t="s">
        <v>1369</v>
      </c>
      <c r="C392" s="122" t="s">
        <v>2505</v>
      </c>
      <c r="D392" s="122" t="s">
        <v>3455</v>
      </c>
      <c r="E392" s="123">
        <v>537</v>
      </c>
      <c r="F392" s="123">
        <v>0</v>
      </c>
      <c r="G392" s="123">
        <f>ROUND(E392*AD392,2)</f>
        <v>0</v>
      </c>
      <c r="H392" s="123">
        <f>I392-G392</f>
        <v>0</v>
      </c>
      <c r="I392" s="123">
        <f>ROUND(E392*F392,2)</f>
        <v>0</v>
      </c>
      <c r="J392" s="123">
        <v>0.00018</v>
      </c>
      <c r="K392" s="123">
        <f>E392*J392</f>
        <v>0.09666000000000001</v>
      </c>
      <c r="M392" s="124" t="s">
        <v>7</v>
      </c>
      <c r="N392" s="123">
        <f>IF(M392="5",H392,0)</f>
        <v>0</v>
      </c>
      <c r="Y392" s="123">
        <f>IF(AC392=0,I392,0)</f>
        <v>0</v>
      </c>
      <c r="Z392" s="123">
        <f>IF(AC392=14,I392,0)</f>
        <v>0</v>
      </c>
      <c r="AA392" s="123">
        <f>IF(AC392=20,I392,0)</f>
        <v>0</v>
      </c>
      <c r="AC392" s="125">
        <v>20</v>
      </c>
      <c r="AD392" s="125">
        <f>F392*0.240077071290944</f>
        <v>0</v>
      </c>
      <c r="AE392" s="125">
        <f>F392*(1-0.240077071290944)</f>
        <v>0</v>
      </c>
    </row>
    <row r="393" spans="1:31" s="90" customFormat="1" ht="11.25">
      <c r="A393" s="122" t="s">
        <v>287</v>
      </c>
      <c r="B393" s="122" t="s">
        <v>1370</v>
      </c>
      <c r="C393" s="122" t="s">
        <v>2506</v>
      </c>
      <c r="D393" s="122" t="s">
        <v>3455</v>
      </c>
      <c r="E393" s="123">
        <v>537</v>
      </c>
      <c r="F393" s="123">
        <v>0</v>
      </c>
      <c r="G393" s="123">
        <f>ROUND(E393*AD393,2)</f>
        <v>0</v>
      </c>
      <c r="H393" s="123">
        <f>I393-G393</f>
        <v>0</v>
      </c>
      <c r="I393" s="123">
        <f>ROUND(E393*F393,2)</f>
        <v>0</v>
      </c>
      <c r="J393" s="123">
        <v>1E-05</v>
      </c>
      <c r="K393" s="123">
        <f>E393*J393</f>
        <v>0.005370000000000001</v>
      </c>
      <c r="M393" s="124" t="s">
        <v>7</v>
      </c>
      <c r="N393" s="123">
        <f>IF(M393="5",H393,0)</f>
        <v>0</v>
      </c>
      <c r="Y393" s="123">
        <f>IF(AC393=0,I393,0)</f>
        <v>0</v>
      </c>
      <c r="Z393" s="123">
        <f>IF(AC393=14,I393,0)</f>
        <v>0</v>
      </c>
      <c r="AA393" s="123">
        <f>IF(AC393=20,I393,0)</f>
        <v>0</v>
      </c>
      <c r="AC393" s="125">
        <v>20</v>
      </c>
      <c r="AD393" s="125">
        <f>F393*0.0635939323220537</f>
        <v>0</v>
      </c>
      <c r="AE393" s="125">
        <f>F393*(1-0.0635939323220537)</f>
        <v>0</v>
      </c>
    </row>
    <row r="394" spans="1:31" s="90" customFormat="1" ht="11.25">
      <c r="A394" s="122" t="s">
        <v>288</v>
      </c>
      <c r="B394" s="122" t="s">
        <v>1371</v>
      </c>
      <c r="C394" s="122" t="s">
        <v>2507</v>
      </c>
      <c r="D394" s="122" t="s">
        <v>3463</v>
      </c>
      <c r="E394" s="123">
        <v>1</v>
      </c>
      <c r="F394" s="123">
        <v>0</v>
      </c>
      <c r="G394" s="123">
        <f>ROUND(E394*AD394,2)</f>
        <v>0</v>
      </c>
      <c r="H394" s="123">
        <f>I394-G394</f>
        <v>0</v>
      </c>
      <c r="I394" s="123">
        <f>ROUND(E394*F394,2)</f>
        <v>0</v>
      </c>
      <c r="J394" s="123">
        <v>0.00571</v>
      </c>
      <c r="K394" s="123">
        <f>E394*J394</f>
        <v>0.00571</v>
      </c>
      <c r="M394" s="124" t="s">
        <v>7</v>
      </c>
      <c r="N394" s="123">
        <f>IF(M394="5",H394,0)</f>
        <v>0</v>
      </c>
      <c r="Y394" s="123">
        <f>IF(AC394=0,I394,0)</f>
        <v>0</v>
      </c>
      <c r="Z394" s="123">
        <f>IF(AC394=14,I394,0)</f>
        <v>0</v>
      </c>
      <c r="AA394" s="123">
        <f>IF(AC394=20,I394,0)</f>
        <v>0</v>
      </c>
      <c r="AC394" s="125">
        <v>20</v>
      </c>
      <c r="AD394" s="125">
        <f>F394*0.972681043052688</f>
        <v>0</v>
      </c>
      <c r="AE394" s="125">
        <f>F394*(1-0.972681043052688)</f>
        <v>0</v>
      </c>
    </row>
    <row r="395" spans="1:31" s="90" customFormat="1" ht="11.25">
      <c r="A395" s="122" t="s">
        <v>289</v>
      </c>
      <c r="B395" s="122" t="s">
        <v>1372</v>
      </c>
      <c r="C395" s="122" t="s">
        <v>2508</v>
      </c>
      <c r="D395" s="122" t="s">
        <v>3460</v>
      </c>
      <c r="E395" s="123">
        <v>2.24252</v>
      </c>
      <c r="F395" s="123">
        <v>0</v>
      </c>
      <c r="G395" s="123">
        <f>ROUND(E395*AD395,2)</f>
        <v>0</v>
      </c>
      <c r="H395" s="123">
        <f>I395-G395</f>
        <v>0</v>
      </c>
      <c r="I395" s="123">
        <f>ROUND(E395*F395,2)</f>
        <v>0</v>
      </c>
      <c r="J395" s="123">
        <v>0</v>
      </c>
      <c r="K395" s="123">
        <f>E395*J395</f>
        <v>0</v>
      </c>
      <c r="M395" s="124" t="s">
        <v>11</v>
      </c>
      <c r="N395" s="123">
        <f>IF(M395="5",H395,0)</f>
        <v>0</v>
      </c>
      <c r="Y395" s="123">
        <f>IF(AC395=0,I395,0)</f>
        <v>0</v>
      </c>
      <c r="Z395" s="123">
        <f>IF(AC395=14,I395,0)</f>
        <v>0</v>
      </c>
      <c r="AA395" s="123">
        <f>IF(AC395=20,I395,0)</f>
        <v>0</v>
      </c>
      <c r="AC395" s="125">
        <v>20</v>
      </c>
      <c r="AD395" s="125">
        <f>F395*0</f>
        <v>0</v>
      </c>
      <c r="AE395" s="125">
        <f>F395*(1-0)</f>
        <v>0</v>
      </c>
    </row>
    <row r="396" spans="1:36" s="90" customFormat="1" ht="11.25">
      <c r="A396" s="127"/>
      <c r="B396" s="128" t="s">
        <v>729</v>
      </c>
      <c r="C396" s="129" t="s">
        <v>2509</v>
      </c>
      <c r="D396" s="130"/>
      <c r="E396" s="130"/>
      <c r="F396" s="130"/>
      <c r="G396" s="121">
        <f>SUM(G397:G430)</f>
        <v>0</v>
      </c>
      <c r="H396" s="121">
        <f>SUM(H397:H430)</f>
        <v>0</v>
      </c>
      <c r="I396" s="121">
        <f>G396+H396</f>
        <v>0</v>
      </c>
      <c r="J396" s="114"/>
      <c r="K396" s="121">
        <f>SUM(K397:K430)</f>
        <v>3.0869400000000007</v>
      </c>
      <c r="O396" s="121">
        <f>IF(P396="PR",I396,SUM(N397:N430))</f>
        <v>0</v>
      </c>
      <c r="P396" s="114" t="s">
        <v>3490</v>
      </c>
      <c r="Q396" s="121">
        <f>IF(P396="HS",G396,0)</f>
        <v>0</v>
      </c>
      <c r="R396" s="121">
        <f>IF(P396="HS",H396-O396,0)</f>
        <v>0</v>
      </c>
      <c r="S396" s="121">
        <f>IF(P396="PS",G396,0)</f>
        <v>0</v>
      </c>
      <c r="T396" s="121">
        <f>IF(P396="PS",H396-O396,0)</f>
        <v>0</v>
      </c>
      <c r="U396" s="121">
        <f>IF(P396="MP",G396,0)</f>
        <v>0</v>
      </c>
      <c r="V396" s="121">
        <f>IF(P396="MP",H396-O396,0)</f>
        <v>0</v>
      </c>
      <c r="W396" s="121">
        <f>IF(P396="OM",G396,0)</f>
        <v>0</v>
      </c>
      <c r="X396" s="114"/>
      <c r="AH396" s="121">
        <f>SUM(Y397:Y430)</f>
        <v>0</v>
      </c>
      <c r="AI396" s="121">
        <f>SUM(Z397:Z430)</f>
        <v>0</v>
      </c>
      <c r="AJ396" s="121">
        <f>SUM(AA397:AA430)</f>
        <v>0</v>
      </c>
    </row>
    <row r="397" spans="1:31" s="90" customFormat="1" ht="11.25">
      <c r="A397" s="122" t="s">
        <v>290</v>
      </c>
      <c r="B397" s="122" t="s">
        <v>1373</v>
      </c>
      <c r="C397" s="122" t="s">
        <v>2510</v>
      </c>
      <c r="D397" s="122" t="s">
        <v>3455</v>
      </c>
      <c r="E397" s="123">
        <v>59</v>
      </c>
      <c r="F397" s="123">
        <v>0</v>
      </c>
      <c r="G397" s="123">
        <f>ROUND(E397*AD397,2)</f>
        <v>0</v>
      </c>
      <c r="H397" s="123">
        <f>I397-G397</f>
        <v>0</v>
      </c>
      <c r="I397" s="123">
        <f>ROUND(E397*F397,2)</f>
        <v>0</v>
      </c>
      <c r="J397" s="123">
        <v>4E-05</v>
      </c>
      <c r="K397" s="123">
        <f>E397*J397</f>
        <v>0.00236</v>
      </c>
      <c r="M397" s="124" t="s">
        <v>8</v>
      </c>
      <c r="N397" s="123">
        <f>IF(M397="5",H397,0)</f>
        <v>0</v>
      </c>
      <c r="Y397" s="123">
        <f>IF(AC397=0,I397,0)</f>
        <v>0</v>
      </c>
      <c r="Z397" s="123">
        <f>IF(AC397=14,I397,0)</f>
        <v>0</v>
      </c>
      <c r="AA397" s="123">
        <f>IF(AC397=20,I397,0)</f>
        <v>0</v>
      </c>
      <c r="AC397" s="125">
        <v>20</v>
      </c>
      <c r="AD397" s="125">
        <f>F397*0.40009842519685</f>
        <v>0</v>
      </c>
      <c r="AE397" s="125">
        <f>F397*(1-0.40009842519685)</f>
        <v>0</v>
      </c>
    </row>
    <row r="398" s="90" customFormat="1" ht="11.25">
      <c r="C398" s="126" t="s">
        <v>2511</v>
      </c>
    </row>
    <row r="399" spans="1:31" s="90" customFormat="1" ht="11.25">
      <c r="A399" s="122" t="s">
        <v>291</v>
      </c>
      <c r="B399" s="122" t="s">
        <v>1374</v>
      </c>
      <c r="C399" s="122" t="s">
        <v>2512</v>
      </c>
      <c r="D399" s="122" t="s">
        <v>3455</v>
      </c>
      <c r="E399" s="123">
        <v>59</v>
      </c>
      <c r="F399" s="123">
        <v>0</v>
      </c>
      <c r="G399" s="123">
        <f aca="true" t="shared" si="110" ref="G399:G405">ROUND(E399*AD399,2)</f>
        <v>0</v>
      </c>
      <c r="H399" s="123">
        <f aca="true" t="shared" si="111" ref="H399:H405">I399-G399</f>
        <v>0</v>
      </c>
      <c r="I399" s="123">
        <f aca="true" t="shared" si="112" ref="I399:I405">ROUND(E399*F399,2)</f>
        <v>0</v>
      </c>
      <c r="J399" s="123">
        <v>0</v>
      </c>
      <c r="K399" s="123">
        <f aca="true" t="shared" si="113" ref="K399:K405">E399*J399</f>
        <v>0</v>
      </c>
      <c r="M399" s="124" t="s">
        <v>8</v>
      </c>
      <c r="N399" s="123">
        <f aca="true" t="shared" si="114" ref="N399:N405">IF(M399="5",H399,0)</f>
        <v>0</v>
      </c>
      <c r="Y399" s="123">
        <f aca="true" t="shared" si="115" ref="Y399:Y405">IF(AC399=0,I399,0)</f>
        <v>0</v>
      </c>
      <c r="Z399" s="123">
        <f aca="true" t="shared" si="116" ref="Z399:Z405">IF(AC399=14,I399,0)</f>
        <v>0</v>
      </c>
      <c r="AA399" s="123">
        <f aca="true" t="shared" si="117" ref="AA399:AA405">IF(AC399=20,I399,0)</f>
        <v>0</v>
      </c>
      <c r="AC399" s="125">
        <v>20</v>
      </c>
      <c r="AD399" s="125">
        <f>F399*0</f>
        <v>0</v>
      </c>
      <c r="AE399" s="125">
        <f>F399*(1-0)</f>
        <v>0</v>
      </c>
    </row>
    <row r="400" spans="1:31" s="90" customFormat="1" ht="11.25">
      <c r="A400" s="122" t="s">
        <v>292</v>
      </c>
      <c r="B400" s="122" t="s">
        <v>1375</v>
      </c>
      <c r="C400" s="122" t="s">
        <v>2513</v>
      </c>
      <c r="D400" s="122" t="s">
        <v>3456</v>
      </c>
      <c r="E400" s="123">
        <v>7</v>
      </c>
      <c r="F400" s="123">
        <v>0</v>
      </c>
      <c r="G400" s="123">
        <f t="shared" si="110"/>
        <v>0</v>
      </c>
      <c r="H400" s="123">
        <f t="shared" si="111"/>
        <v>0</v>
      </c>
      <c r="I400" s="123">
        <f t="shared" si="112"/>
        <v>0</v>
      </c>
      <c r="J400" s="123">
        <v>0</v>
      </c>
      <c r="K400" s="123">
        <f t="shared" si="113"/>
        <v>0</v>
      </c>
      <c r="M400" s="124" t="s">
        <v>8</v>
      </c>
      <c r="N400" s="123">
        <f t="shared" si="114"/>
        <v>0</v>
      </c>
      <c r="Y400" s="123">
        <f t="shared" si="115"/>
        <v>0</v>
      </c>
      <c r="Z400" s="123">
        <f t="shared" si="116"/>
        <v>0</v>
      </c>
      <c r="AA400" s="123">
        <f t="shared" si="117"/>
        <v>0</v>
      </c>
      <c r="AC400" s="125">
        <v>20</v>
      </c>
      <c r="AD400" s="125">
        <f>F400*0</f>
        <v>0</v>
      </c>
      <c r="AE400" s="125">
        <f>F400*(1-0)</f>
        <v>0</v>
      </c>
    </row>
    <row r="401" spans="1:31" s="90" customFormat="1" ht="11.25">
      <c r="A401" s="131" t="s">
        <v>293</v>
      </c>
      <c r="B401" s="131" t="s">
        <v>1376</v>
      </c>
      <c r="C401" s="131" t="s">
        <v>2514</v>
      </c>
      <c r="D401" s="131" t="s">
        <v>3456</v>
      </c>
      <c r="E401" s="132">
        <v>1</v>
      </c>
      <c r="F401" s="132">
        <v>0</v>
      </c>
      <c r="G401" s="132">
        <f t="shared" si="110"/>
        <v>0</v>
      </c>
      <c r="H401" s="132">
        <f t="shared" si="111"/>
        <v>0</v>
      </c>
      <c r="I401" s="132">
        <f t="shared" si="112"/>
        <v>0</v>
      </c>
      <c r="J401" s="132">
        <v>0</v>
      </c>
      <c r="K401" s="132">
        <f t="shared" si="113"/>
        <v>0</v>
      </c>
      <c r="M401" s="133" t="s">
        <v>1101</v>
      </c>
      <c r="N401" s="132">
        <f t="shared" si="114"/>
        <v>0</v>
      </c>
      <c r="Y401" s="132">
        <f t="shared" si="115"/>
        <v>0</v>
      </c>
      <c r="Z401" s="132">
        <f t="shared" si="116"/>
        <v>0</v>
      </c>
      <c r="AA401" s="132">
        <f t="shared" si="117"/>
        <v>0</v>
      </c>
      <c r="AC401" s="125">
        <v>20</v>
      </c>
      <c r="AD401" s="125">
        <f>F401*1</f>
        <v>0</v>
      </c>
      <c r="AE401" s="125">
        <f>F401*(1-1)</f>
        <v>0</v>
      </c>
    </row>
    <row r="402" spans="1:31" s="90" customFormat="1" ht="11.25">
      <c r="A402" s="131" t="s">
        <v>294</v>
      </c>
      <c r="B402" s="131" t="s">
        <v>1376</v>
      </c>
      <c r="C402" s="131" t="s">
        <v>2515</v>
      </c>
      <c r="D402" s="131" t="s">
        <v>3456</v>
      </c>
      <c r="E402" s="132">
        <v>1</v>
      </c>
      <c r="F402" s="132">
        <v>0</v>
      </c>
      <c r="G402" s="132">
        <f t="shared" si="110"/>
        <v>0</v>
      </c>
      <c r="H402" s="132">
        <f t="shared" si="111"/>
        <v>0</v>
      </c>
      <c r="I402" s="132">
        <f t="shared" si="112"/>
        <v>0</v>
      </c>
      <c r="J402" s="132">
        <v>0</v>
      </c>
      <c r="K402" s="132">
        <f t="shared" si="113"/>
        <v>0</v>
      </c>
      <c r="M402" s="133" t="s">
        <v>1101</v>
      </c>
      <c r="N402" s="132">
        <f t="shared" si="114"/>
        <v>0</v>
      </c>
      <c r="Y402" s="132">
        <f t="shared" si="115"/>
        <v>0</v>
      </c>
      <c r="Z402" s="132">
        <f t="shared" si="116"/>
        <v>0</v>
      </c>
      <c r="AA402" s="132">
        <f t="shared" si="117"/>
        <v>0</v>
      </c>
      <c r="AC402" s="125">
        <v>20</v>
      </c>
      <c r="AD402" s="125">
        <f>F402*1</f>
        <v>0</v>
      </c>
      <c r="AE402" s="125">
        <f>F402*(1-1)</f>
        <v>0</v>
      </c>
    </row>
    <row r="403" spans="1:31" s="90" customFormat="1" ht="11.25">
      <c r="A403" s="131" t="s">
        <v>295</v>
      </c>
      <c r="B403" s="131" t="s">
        <v>1377</v>
      </c>
      <c r="C403" s="131" t="s">
        <v>2516</v>
      </c>
      <c r="D403" s="131" t="s">
        <v>3456</v>
      </c>
      <c r="E403" s="132">
        <v>1</v>
      </c>
      <c r="F403" s="132">
        <v>0</v>
      </c>
      <c r="G403" s="132">
        <f t="shared" si="110"/>
        <v>0</v>
      </c>
      <c r="H403" s="132">
        <f t="shared" si="111"/>
        <v>0</v>
      </c>
      <c r="I403" s="132">
        <f t="shared" si="112"/>
        <v>0</v>
      </c>
      <c r="J403" s="132">
        <v>0.00034</v>
      </c>
      <c r="K403" s="132">
        <f t="shared" si="113"/>
        <v>0.00034</v>
      </c>
      <c r="M403" s="133" t="s">
        <v>1101</v>
      </c>
      <c r="N403" s="132">
        <f t="shared" si="114"/>
        <v>0</v>
      </c>
      <c r="Y403" s="132">
        <f t="shared" si="115"/>
        <v>0</v>
      </c>
      <c r="Z403" s="132">
        <f t="shared" si="116"/>
        <v>0</v>
      </c>
      <c r="AA403" s="132">
        <f t="shared" si="117"/>
        <v>0</v>
      </c>
      <c r="AC403" s="125">
        <v>20</v>
      </c>
      <c r="AD403" s="125">
        <f>F403*1</f>
        <v>0</v>
      </c>
      <c r="AE403" s="125">
        <f>F403*(1-1)</f>
        <v>0</v>
      </c>
    </row>
    <row r="404" spans="1:31" s="90" customFormat="1" ht="11.25">
      <c r="A404" s="131" t="s">
        <v>296</v>
      </c>
      <c r="B404" s="131" t="s">
        <v>1378</v>
      </c>
      <c r="C404" s="131" t="s">
        <v>2517</v>
      </c>
      <c r="D404" s="131" t="s">
        <v>3456</v>
      </c>
      <c r="E404" s="132">
        <v>1</v>
      </c>
      <c r="F404" s="132">
        <v>0</v>
      </c>
      <c r="G404" s="132">
        <f t="shared" si="110"/>
        <v>0</v>
      </c>
      <c r="H404" s="132">
        <f t="shared" si="111"/>
        <v>0</v>
      </c>
      <c r="I404" s="132">
        <f t="shared" si="112"/>
        <v>0</v>
      </c>
      <c r="J404" s="132">
        <v>0.0012</v>
      </c>
      <c r="K404" s="132">
        <f t="shared" si="113"/>
        <v>0.0012</v>
      </c>
      <c r="M404" s="133" t="s">
        <v>1101</v>
      </c>
      <c r="N404" s="132">
        <f t="shared" si="114"/>
        <v>0</v>
      </c>
      <c r="Y404" s="132">
        <f t="shared" si="115"/>
        <v>0</v>
      </c>
      <c r="Z404" s="132">
        <f t="shared" si="116"/>
        <v>0</v>
      </c>
      <c r="AA404" s="132">
        <f t="shared" si="117"/>
        <v>0</v>
      </c>
      <c r="AC404" s="125">
        <v>20</v>
      </c>
      <c r="AD404" s="125">
        <f>F404*1</f>
        <v>0</v>
      </c>
      <c r="AE404" s="125">
        <f>F404*(1-1)</f>
        <v>0</v>
      </c>
    </row>
    <row r="405" spans="1:31" s="90" customFormat="1" ht="11.25">
      <c r="A405" s="122" t="s">
        <v>297</v>
      </c>
      <c r="B405" s="122" t="s">
        <v>1379</v>
      </c>
      <c r="C405" s="122" t="s">
        <v>2518</v>
      </c>
      <c r="D405" s="122" t="s">
        <v>3456</v>
      </c>
      <c r="E405" s="123">
        <v>1</v>
      </c>
      <c r="F405" s="123">
        <v>0</v>
      </c>
      <c r="G405" s="123">
        <f t="shared" si="110"/>
        <v>0</v>
      </c>
      <c r="H405" s="123">
        <f t="shared" si="111"/>
        <v>0</v>
      </c>
      <c r="I405" s="123">
        <f t="shared" si="112"/>
        <v>0</v>
      </c>
      <c r="J405" s="123">
        <v>2.75869</v>
      </c>
      <c r="K405" s="123">
        <f t="shared" si="113"/>
        <v>2.75869</v>
      </c>
      <c r="M405" s="124" t="s">
        <v>8</v>
      </c>
      <c r="N405" s="123">
        <f t="shared" si="114"/>
        <v>0</v>
      </c>
      <c r="Y405" s="123">
        <f t="shared" si="115"/>
        <v>0</v>
      </c>
      <c r="Z405" s="123">
        <f t="shared" si="116"/>
        <v>0</v>
      </c>
      <c r="AA405" s="123">
        <f t="shared" si="117"/>
        <v>0</v>
      </c>
      <c r="AC405" s="125">
        <v>20</v>
      </c>
      <c r="AD405" s="125">
        <f>F405*0.671181208789202</f>
        <v>0</v>
      </c>
      <c r="AE405" s="125">
        <f>F405*(1-0.671181208789202)</f>
        <v>0</v>
      </c>
    </row>
    <row r="406" s="90" customFormat="1" ht="11.25">
      <c r="C406" s="126" t="s">
        <v>2519</v>
      </c>
    </row>
    <row r="407" spans="1:31" s="90" customFormat="1" ht="11.25">
      <c r="A407" s="131" t="s">
        <v>298</v>
      </c>
      <c r="B407" s="131" t="s">
        <v>1326</v>
      </c>
      <c r="C407" s="131" t="s">
        <v>2457</v>
      </c>
      <c r="D407" s="131" t="s">
        <v>3456</v>
      </c>
      <c r="E407" s="132">
        <v>4</v>
      </c>
      <c r="F407" s="132">
        <v>0</v>
      </c>
      <c r="G407" s="132">
        <f aca="true" t="shared" si="118" ref="G407:G412">ROUND(E407*AD407,2)</f>
        <v>0</v>
      </c>
      <c r="H407" s="132">
        <f aca="true" t="shared" si="119" ref="H407:H412">I407-G407</f>
        <v>0</v>
      </c>
      <c r="I407" s="132">
        <f aca="true" t="shared" si="120" ref="I407:I412">ROUND(E407*F407,2)</f>
        <v>0</v>
      </c>
      <c r="J407" s="132">
        <v>0.00031</v>
      </c>
      <c r="K407" s="132">
        <f aca="true" t="shared" si="121" ref="K407:K412">E407*J407</f>
        <v>0.00124</v>
      </c>
      <c r="M407" s="133" t="s">
        <v>1101</v>
      </c>
      <c r="N407" s="132">
        <f aca="true" t="shared" si="122" ref="N407:N412">IF(M407="5",H407,0)</f>
        <v>0</v>
      </c>
      <c r="Y407" s="132">
        <f aca="true" t="shared" si="123" ref="Y407:Y412">IF(AC407=0,I407,0)</f>
        <v>0</v>
      </c>
      <c r="Z407" s="132">
        <f aca="true" t="shared" si="124" ref="Z407:Z412">IF(AC407=14,I407,0)</f>
        <v>0</v>
      </c>
      <c r="AA407" s="132">
        <f aca="true" t="shared" si="125" ref="AA407:AA412">IF(AC407=20,I407,0)</f>
        <v>0</v>
      </c>
      <c r="AC407" s="125">
        <v>20</v>
      </c>
      <c r="AD407" s="125">
        <f>F407*1</f>
        <v>0</v>
      </c>
      <c r="AE407" s="125">
        <f>F407*(1-1)</f>
        <v>0</v>
      </c>
    </row>
    <row r="408" spans="1:31" s="90" customFormat="1" ht="11.25">
      <c r="A408" s="122" t="s">
        <v>299</v>
      </c>
      <c r="B408" s="122" t="s">
        <v>1342</v>
      </c>
      <c r="C408" s="122" t="s">
        <v>2520</v>
      </c>
      <c r="D408" s="122" t="s">
        <v>3455</v>
      </c>
      <c r="E408" s="123">
        <v>8</v>
      </c>
      <c r="F408" s="123">
        <v>0</v>
      </c>
      <c r="G408" s="123">
        <f t="shared" si="118"/>
        <v>0</v>
      </c>
      <c r="H408" s="123">
        <f t="shared" si="119"/>
        <v>0</v>
      </c>
      <c r="I408" s="123">
        <f t="shared" si="120"/>
        <v>0</v>
      </c>
      <c r="J408" s="123">
        <v>0.0008</v>
      </c>
      <c r="K408" s="123">
        <f t="shared" si="121"/>
        <v>0.0064</v>
      </c>
      <c r="M408" s="124" t="s">
        <v>7</v>
      </c>
      <c r="N408" s="123">
        <f t="shared" si="122"/>
        <v>0</v>
      </c>
      <c r="Y408" s="123">
        <f t="shared" si="123"/>
        <v>0</v>
      </c>
      <c r="Z408" s="123">
        <f t="shared" si="124"/>
        <v>0</v>
      </c>
      <c r="AA408" s="123">
        <f t="shared" si="125"/>
        <v>0</v>
      </c>
      <c r="AC408" s="125">
        <v>20</v>
      </c>
      <c r="AD408" s="125">
        <f>F408*0.467938332897831</f>
        <v>0</v>
      </c>
      <c r="AE408" s="125">
        <f>F408*(1-0.467938332897831)</f>
        <v>0</v>
      </c>
    </row>
    <row r="409" spans="1:31" s="90" customFormat="1" ht="11.25">
      <c r="A409" s="122" t="s">
        <v>300</v>
      </c>
      <c r="B409" s="122" t="s">
        <v>1380</v>
      </c>
      <c r="C409" s="122" t="s">
        <v>2521</v>
      </c>
      <c r="D409" s="122" t="s">
        <v>3455</v>
      </c>
      <c r="E409" s="123">
        <v>53</v>
      </c>
      <c r="F409" s="123">
        <v>0</v>
      </c>
      <c r="G409" s="123">
        <f t="shared" si="118"/>
        <v>0</v>
      </c>
      <c r="H409" s="123">
        <f t="shared" si="119"/>
        <v>0</v>
      </c>
      <c r="I409" s="123">
        <f t="shared" si="120"/>
        <v>0</v>
      </c>
      <c r="J409" s="123">
        <v>0.00101</v>
      </c>
      <c r="K409" s="123">
        <f t="shared" si="121"/>
        <v>0.05353</v>
      </c>
      <c r="M409" s="124" t="s">
        <v>7</v>
      </c>
      <c r="N409" s="123">
        <f t="shared" si="122"/>
        <v>0</v>
      </c>
      <c r="Y409" s="123">
        <f t="shared" si="123"/>
        <v>0</v>
      </c>
      <c r="Z409" s="123">
        <f t="shared" si="124"/>
        <v>0</v>
      </c>
      <c r="AA409" s="123">
        <f t="shared" si="125"/>
        <v>0</v>
      </c>
      <c r="AC409" s="125">
        <v>20</v>
      </c>
      <c r="AD409" s="125">
        <f>F409*0.567105208721195</f>
        <v>0</v>
      </c>
      <c r="AE409" s="125">
        <f>F409*(1-0.567105208721195)</f>
        <v>0</v>
      </c>
    </row>
    <row r="410" spans="1:31" s="90" customFormat="1" ht="11.25">
      <c r="A410" s="122" t="s">
        <v>301</v>
      </c>
      <c r="B410" s="122" t="s">
        <v>1381</v>
      </c>
      <c r="C410" s="122" t="s">
        <v>2522</v>
      </c>
      <c r="D410" s="122" t="s">
        <v>3456</v>
      </c>
      <c r="E410" s="123">
        <v>1</v>
      </c>
      <c r="F410" s="123">
        <v>0</v>
      </c>
      <c r="G410" s="123">
        <f t="shared" si="118"/>
        <v>0</v>
      </c>
      <c r="H410" s="123">
        <f t="shared" si="119"/>
        <v>0</v>
      </c>
      <c r="I410" s="123">
        <f t="shared" si="120"/>
        <v>0</v>
      </c>
      <c r="J410" s="123">
        <v>0.0002</v>
      </c>
      <c r="K410" s="123">
        <f t="shared" si="121"/>
        <v>0.0002</v>
      </c>
      <c r="M410" s="124" t="s">
        <v>7</v>
      </c>
      <c r="N410" s="123">
        <f t="shared" si="122"/>
        <v>0</v>
      </c>
      <c r="Y410" s="123">
        <f t="shared" si="123"/>
        <v>0</v>
      </c>
      <c r="Z410" s="123">
        <f t="shared" si="124"/>
        <v>0</v>
      </c>
      <c r="AA410" s="123">
        <f t="shared" si="125"/>
        <v>0</v>
      </c>
      <c r="AC410" s="125">
        <v>20</v>
      </c>
      <c r="AD410" s="125">
        <f>F410*0.85553565431546</f>
        <v>0</v>
      </c>
      <c r="AE410" s="125">
        <f>F410*(1-0.85553565431546)</f>
        <v>0</v>
      </c>
    </row>
    <row r="411" spans="1:31" s="90" customFormat="1" ht="11.25">
      <c r="A411" s="122" t="s">
        <v>302</v>
      </c>
      <c r="B411" s="122" t="s">
        <v>1382</v>
      </c>
      <c r="C411" s="122" t="s">
        <v>2523</v>
      </c>
      <c r="D411" s="122" t="s">
        <v>3455</v>
      </c>
      <c r="E411" s="123">
        <v>59</v>
      </c>
      <c r="F411" s="123">
        <v>0</v>
      </c>
      <c r="G411" s="123">
        <f t="shared" si="118"/>
        <v>0</v>
      </c>
      <c r="H411" s="123">
        <f t="shared" si="119"/>
        <v>0</v>
      </c>
      <c r="I411" s="123">
        <f t="shared" si="120"/>
        <v>0</v>
      </c>
      <c r="J411" s="123">
        <v>0.002</v>
      </c>
      <c r="K411" s="123">
        <f t="shared" si="121"/>
        <v>0.11800000000000001</v>
      </c>
      <c r="M411" s="124" t="s">
        <v>7</v>
      </c>
      <c r="N411" s="123">
        <f t="shared" si="122"/>
        <v>0</v>
      </c>
      <c r="Y411" s="123">
        <f t="shared" si="123"/>
        <v>0</v>
      </c>
      <c r="Z411" s="123">
        <f t="shared" si="124"/>
        <v>0</v>
      </c>
      <c r="AA411" s="123">
        <f t="shared" si="125"/>
        <v>0</v>
      </c>
      <c r="AC411" s="125">
        <v>20</v>
      </c>
      <c r="AD411" s="125">
        <f>F411*0.578947368421053</f>
        <v>0</v>
      </c>
      <c r="AE411" s="125">
        <f>F411*(1-0.578947368421053)</f>
        <v>0</v>
      </c>
    </row>
    <row r="412" spans="1:31" s="90" customFormat="1" ht="11.25">
      <c r="A412" s="122" t="s">
        <v>303</v>
      </c>
      <c r="B412" s="122" t="s">
        <v>1383</v>
      </c>
      <c r="C412" s="122" t="s">
        <v>2524</v>
      </c>
      <c r="D412" s="122" t="s">
        <v>3457</v>
      </c>
      <c r="E412" s="123">
        <v>1</v>
      </c>
      <c r="F412" s="123">
        <v>0</v>
      </c>
      <c r="G412" s="123">
        <f t="shared" si="118"/>
        <v>0</v>
      </c>
      <c r="H412" s="123">
        <f t="shared" si="119"/>
        <v>0</v>
      </c>
      <c r="I412" s="123">
        <f t="shared" si="120"/>
        <v>0</v>
      </c>
      <c r="J412" s="123">
        <v>0</v>
      </c>
      <c r="K412" s="123">
        <f t="shared" si="121"/>
        <v>0</v>
      </c>
      <c r="M412" s="124" t="s">
        <v>7</v>
      </c>
      <c r="N412" s="123">
        <f t="shared" si="122"/>
        <v>0</v>
      </c>
      <c r="Y412" s="123">
        <f t="shared" si="123"/>
        <v>0</v>
      </c>
      <c r="Z412" s="123">
        <f t="shared" si="124"/>
        <v>0</v>
      </c>
      <c r="AA412" s="123">
        <f t="shared" si="125"/>
        <v>0</v>
      </c>
      <c r="AC412" s="125">
        <v>20</v>
      </c>
      <c r="AD412" s="125">
        <f>F412*0</f>
        <v>0</v>
      </c>
      <c r="AE412" s="125">
        <f>F412*(1-0)</f>
        <v>0</v>
      </c>
    </row>
    <row r="413" s="90" customFormat="1" ht="11.25">
      <c r="C413" s="126" t="s">
        <v>2525</v>
      </c>
    </row>
    <row r="414" spans="1:31" s="90" customFormat="1" ht="11.25">
      <c r="A414" s="122" t="s">
        <v>304</v>
      </c>
      <c r="B414" s="122" t="s">
        <v>1384</v>
      </c>
      <c r="C414" s="122" t="s">
        <v>2526</v>
      </c>
      <c r="D414" s="122" t="s">
        <v>3457</v>
      </c>
      <c r="E414" s="123">
        <v>1</v>
      </c>
      <c r="F414" s="123">
        <v>0</v>
      </c>
      <c r="G414" s="123">
        <f aca="true" t="shared" si="126" ref="G414:G430">ROUND(E414*AD414,2)</f>
        <v>0</v>
      </c>
      <c r="H414" s="123">
        <f aca="true" t="shared" si="127" ref="H414:H430">I414-G414</f>
        <v>0</v>
      </c>
      <c r="I414" s="123">
        <f aca="true" t="shared" si="128" ref="I414:I430">ROUND(E414*F414,2)</f>
        <v>0</v>
      </c>
      <c r="J414" s="123">
        <v>0</v>
      </c>
      <c r="K414" s="123">
        <f aca="true" t="shared" si="129" ref="K414:K430">E414*J414</f>
        <v>0</v>
      </c>
      <c r="M414" s="124" t="s">
        <v>7</v>
      </c>
      <c r="N414" s="123">
        <f aca="true" t="shared" si="130" ref="N414:N430">IF(M414="5",H414,0)</f>
        <v>0</v>
      </c>
      <c r="Y414" s="123">
        <f aca="true" t="shared" si="131" ref="Y414:Y430">IF(AC414=0,I414,0)</f>
        <v>0</v>
      </c>
      <c r="Z414" s="123">
        <f aca="true" t="shared" si="132" ref="Z414:Z430">IF(AC414=14,I414,0)</f>
        <v>0</v>
      </c>
      <c r="AA414" s="123">
        <f aca="true" t="shared" si="133" ref="AA414:AA430">IF(AC414=20,I414,0)</f>
        <v>0</v>
      </c>
      <c r="AC414" s="125">
        <v>20</v>
      </c>
      <c r="AD414" s="125">
        <f>F414*0.547945205479452</f>
        <v>0</v>
      </c>
      <c r="AE414" s="125">
        <f>F414*(1-0.547945205479452)</f>
        <v>0</v>
      </c>
    </row>
    <row r="415" spans="1:31" s="90" customFormat="1" ht="11.25">
      <c r="A415" s="122" t="s">
        <v>305</v>
      </c>
      <c r="B415" s="122" t="s">
        <v>1385</v>
      </c>
      <c r="C415" s="122" t="s">
        <v>2527</v>
      </c>
      <c r="D415" s="122" t="s">
        <v>3455</v>
      </c>
      <c r="E415" s="123">
        <v>4</v>
      </c>
      <c r="F415" s="123">
        <v>0</v>
      </c>
      <c r="G415" s="123">
        <f t="shared" si="126"/>
        <v>0</v>
      </c>
      <c r="H415" s="123">
        <f t="shared" si="127"/>
        <v>0</v>
      </c>
      <c r="I415" s="123">
        <f t="shared" si="128"/>
        <v>0</v>
      </c>
      <c r="J415" s="123">
        <v>0.0086</v>
      </c>
      <c r="K415" s="123">
        <f t="shared" si="129"/>
        <v>0.0344</v>
      </c>
      <c r="M415" s="124" t="s">
        <v>7</v>
      </c>
      <c r="N415" s="123">
        <f t="shared" si="130"/>
        <v>0</v>
      </c>
      <c r="Y415" s="123">
        <f t="shared" si="131"/>
        <v>0</v>
      </c>
      <c r="Z415" s="123">
        <f t="shared" si="132"/>
        <v>0</v>
      </c>
      <c r="AA415" s="123">
        <f t="shared" si="133"/>
        <v>0</v>
      </c>
      <c r="AC415" s="125">
        <v>20</v>
      </c>
      <c r="AD415" s="125">
        <f>F415*0.347273604632459</f>
        <v>0</v>
      </c>
      <c r="AE415" s="125">
        <f>F415*(1-0.347273604632459)</f>
        <v>0</v>
      </c>
    </row>
    <row r="416" spans="1:31" s="90" customFormat="1" ht="11.25">
      <c r="A416" s="122" t="s">
        <v>306</v>
      </c>
      <c r="B416" s="122" t="s">
        <v>1386</v>
      </c>
      <c r="C416" s="122" t="s">
        <v>2528</v>
      </c>
      <c r="D416" s="122" t="s">
        <v>3455</v>
      </c>
      <c r="E416" s="123">
        <v>7</v>
      </c>
      <c r="F416" s="123">
        <v>0</v>
      </c>
      <c r="G416" s="123">
        <f t="shared" si="126"/>
        <v>0</v>
      </c>
      <c r="H416" s="123">
        <f t="shared" si="127"/>
        <v>0</v>
      </c>
      <c r="I416" s="123">
        <f t="shared" si="128"/>
        <v>0</v>
      </c>
      <c r="J416" s="123">
        <v>0.01113</v>
      </c>
      <c r="K416" s="123">
        <f t="shared" si="129"/>
        <v>0.07791</v>
      </c>
      <c r="M416" s="124" t="s">
        <v>7</v>
      </c>
      <c r="N416" s="123">
        <f t="shared" si="130"/>
        <v>0</v>
      </c>
      <c r="Y416" s="123">
        <f t="shared" si="131"/>
        <v>0</v>
      </c>
      <c r="Z416" s="123">
        <f t="shared" si="132"/>
        <v>0</v>
      </c>
      <c r="AA416" s="123">
        <f t="shared" si="133"/>
        <v>0</v>
      </c>
      <c r="AC416" s="125">
        <v>20</v>
      </c>
      <c r="AD416" s="125">
        <f>F416*0.493012354966581</f>
        <v>0</v>
      </c>
      <c r="AE416" s="125">
        <f>F416*(1-0.493012354966581)</f>
        <v>0</v>
      </c>
    </row>
    <row r="417" spans="1:31" s="90" customFormat="1" ht="11.25">
      <c r="A417" s="122" t="s">
        <v>307</v>
      </c>
      <c r="B417" s="122" t="s">
        <v>1387</v>
      </c>
      <c r="C417" s="122" t="s">
        <v>2529</v>
      </c>
      <c r="D417" s="122" t="s">
        <v>3463</v>
      </c>
      <c r="E417" s="123">
        <v>1</v>
      </c>
      <c r="F417" s="123">
        <v>0</v>
      </c>
      <c r="G417" s="123">
        <f t="shared" si="126"/>
        <v>0</v>
      </c>
      <c r="H417" s="123">
        <f t="shared" si="127"/>
        <v>0</v>
      </c>
      <c r="I417" s="123">
        <f t="shared" si="128"/>
        <v>0</v>
      </c>
      <c r="J417" s="123">
        <v>0.00863</v>
      </c>
      <c r="K417" s="123">
        <f t="shared" si="129"/>
        <v>0.00863</v>
      </c>
      <c r="M417" s="124" t="s">
        <v>7</v>
      </c>
      <c r="N417" s="123">
        <f t="shared" si="130"/>
        <v>0</v>
      </c>
      <c r="Y417" s="123">
        <f t="shared" si="131"/>
        <v>0</v>
      </c>
      <c r="Z417" s="123">
        <f t="shared" si="132"/>
        <v>0</v>
      </c>
      <c r="AA417" s="123">
        <f t="shared" si="133"/>
        <v>0</v>
      </c>
      <c r="AC417" s="125">
        <v>20</v>
      </c>
      <c r="AD417" s="125">
        <f>F417*0.681267390292774</f>
        <v>0</v>
      </c>
      <c r="AE417" s="125">
        <f>F417*(1-0.681267390292774)</f>
        <v>0</v>
      </c>
    </row>
    <row r="418" spans="1:31" s="90" customFormat="1" ht="11.25">
      <c r="A418" s="122" t="s">
        <v>308</v>
      </c>
      <c r="B418" s="122" t="s">
        <v>1388</v>
      </c>
      <c r="C418" s="122" t="s">
        <v>2530</v>
      </c>
      <c r="D418" s="122" t="s">
        <v>3463</v>
      </c>
      <c r="E418" s="123">
        <v>1</v>
      </c>
      <c r="F418" s="123">
        <v>0</v>
      </c>
      <c r="G418" s="123">
        <f t="shared" si="126"/>
        <v>0</v>
      </c>
      <c r="H418" s="123">
        <f t="shared" si="127"/>
        <v>0</v>
      </c>
      <c r="I418" s="123">
        <f t="shared" si="128"/>
        <v>0</v>
      </c>
      <c r="J418" s="123">
        <v>0.00028</v>
      </c>
      <c r="K418" s="123">
        <f t="shared" si="129"/>
        <v>0.00028</v>
      </c>
      <c r="M418" s="124" t="s">
        <v>7</v>
      </c>
      <c r="N418" s="123">
        <f t="shared" si="130"/>
        <v>0</v>
      </c>
      <c r="Y418" s="123">
        <f t="shared" si="131"/>
        <v>0</v>
      </c>
      <c r="Z418" s="123">
        <f t="shared" si="132"/>
        <v>0</v>
      </c>
      <c r="AA418" s="123">
        <f t="shared" si="133"/>
        <v>0</v>
      </c>
      <c r="AC418" s="125">
        <v>20</v>
      </c>
      <c r="AD418" s="125">
        <f>F418*0.0456135913325745</f>
        <v>0</v>
      </c>
      <c r="AE418" s="125">
        <f>F418*(1-0.0456135913325745)</f>
        <v>0</v>
      </c>
    </row>
    <row r="419" spans="1:31" s="90" customFormat="1" ht="11.25">
      <c r="A419" s="122" t="s">
        <v>309</v>
      </c>
      <c r="B419" s="122" t="s">
        <v>1389</v>
      </c>
      <c r="C419" s="122" t="s">
        <v>2531</v>
      </c>
      <c r="D419" s="122" t="s">
        <v>3463</v>
      </c>
      <c r="E419" s="123">
        <v>4</v>
      </c>
      <c r="F419" s="123">
        <v>0</v>
      </c>
      <c r="G419" s="123">
        <f t="shared" si="126"/>
        <v>0</v>
      </c>
      <c r="H419" s="123">
        <f t="shared" si="127"/>
        <v>0</v>
      </c>
      <c r="I419" s="123">
        <f t="shared" si="128"/>
        <v>0</v>
      </c>
      <c r="J419" s="123">
        <v>0.00404</v>
      </c>
      <c r="K419" s="123">
        <f t="shared" si="129"/>
        <v>0.01616</v>
      </c>
      <c r="M419" s="124" t="s">
        <v>7</v>
      </c>
      <c r="N419" s="123">
        <f t="shared" si="130"/>
        <v>0</v>
      </c>
      <c r="Y419" s="123">
        <f t="shared" si="131"/>
        <v>0</v>
      </c>
      <c r="Z419" s="123">
        <f t="shared" si="132"/>
        <v>0</v>
      </c>
      <c r="AA419" s="123">
        <f t="shared" si="133"/>
        <v>0</v>
      </c>
      <c r="AC419" s="125">
        <v>20</v>
      </c>
      <c r="AD419" s="125">
        <f>F419*0.387267218445167</f>
        <v>0</v>
      </c>
      <c r="AE419" s="125">
        <f>F419*(1-0.387267218445167)</f>
        <v>0</v>
      </c>
    </row>
    <row r="420" spans="1:31" s="90" customFormat="1" ht="11.25">
      <c r="A420" s="122" t="s">
        <v>310</v>
      </c>
      <c r="B420" s="122" t="s">
        <v>1390</v>
      </c>
      <c r="C420" s="122" t="s">
        <v>2532</v>
      </c>
      <c r="D420" s="122" t="s">
        <v>3455</v>
      </c>
      <c r="E420" s="123">
        <v>72</v>
      </c>
      <c r="F420" s="123">
        <v>0</v>
      </c>
      <c r="G420" s="123">
        <f t="shared" si="126"/>
        <v>0</v>
      </c>
      <c r="H420" s="123">
        <f t="shared" si="127"/>
        <v>0</v>
      </c>
      <c r="I420" s="123">
        <f t="shared" si="128"/>
        <v>0</v>
      </c>
      <c r="J420" s="123">
        <v>0</v>
      </c>
      <c r="K420" s="123">
        <f t="shared" si="129"/>
        <v>0</v>
      </c>
      <c r="M420" s="124" t="s">
        <v>7</v>
      </c>
      <c r="N420" s="123">
        <f t="shared" si="130"/>
        <v>0</v>
      </c>
      <c r="Y420" s="123">
        <f t="shared" si="131"/>
        <v>0</v>
      </c>
      <c r="Z420" s="123">
        <f t="shared" si="132"/>
        <v>0</v>
      </c>
      <c r="AA420" s="123">
        <f t="shared" si="133"/>
        <v>0</v>
      </c>
      <c r="AC420" s="125">
        <v>20</v>
      </c>
      <c r="AD420" s="125">
        <f>F420*0</f>
        <v>0</v>
      </c>
      <c r="AE420" s="125">
        <f>F420*(1-0)</f>
        <v>0</v>
      </c>
    </row>
    <row r="421" spans="1:31" s="90" customFormat="1" ht="11.25">
      <c r="A421" s="122" t="s">
        <v>311</v>
      </c>
      <c r="B421" s="122" t="s">
        <v>1391</v>
      </c>
      <c r="C421" s="122" t="s">
        <v>2533</v>
      </c>
      <c r="D421" s="122" t="s">
        <v>3456</v>
      </c>
      <c r="E421" s="123">
        <v>72</v>
      </c>
      <c r="F421" s="123">
        <v>0</v>
      </c>
      <c r="G421" s="123">
        <f t="shared" si="126"/>
        <v>0</v>
      </c>
      <c r="H421" s="123">
        <f t="shared" si="127"/>
        <v>0</v>
      </c>
      <c r="I421" s="123">
        <f t="shared" si="128"/>
        <v>0</v>
      </c>
      <c r="J421" s="123">
        <v>0</v>
      </c>
      <c r="K421" s="123">
        <f t="shared" si="129"/>
        <v>0</v>
      </c>
      <c r="M421" s="124" t="s">
        <v>7</v>
      </c>
      <c r="N421" s="123">
        <f t="shared" si="130"/>
        <v>0</v>
      </c>
      <c r="Y421" s="123">
        <f t="shared" si="131"/>
        <v>0</v>
      </c>
      <c r="Z421" s="123">
        <f t="shared" si="132"/>
        <v>0</v>
      </c>
      <c r="AA421" s="123">
        <f t="shared" si="133"/>
        <v>0</v>
      </c>
      <c r="AC421" s="125">
        <v>20</v>
      </c>
      <c r="AD421" s="125">
        <f>F421*0</f>
        <v>0</v>
      </c>
      <c r="AE421" s="125">
        <f>F421*(1-0)</f>
        <v>0</v>
      </c>
    </row>
    <row r="422" spans="1:31" s="90" customFormat="1" ht="11.25">
      <c r="A422" s="122" t="s">
        <v>312</v>
      </c>
      <c r="B422" s="122" t="s">
        <v>1392</v>
      </c>
      <c r="C422" s="122" t="s">
        <v>2534</v>
      </c>
      <c r="D422" s="122" t="s">
        <v>3456</v>
      </c>
      <c r="E422" s="123">
        <v>1</v>
      </c>
      <c r="F422" s="123">
        <v>0</v>
      </c>
      <c r="G422" s="123">
        <f t="shared" si="126"/>
        <v>0</v>
      </c>
      <c r="H422" s="123">
        <f t="shared" si="127"/>
        <v>0</v>
      </c>
      <c r="I422" s="123">
        <f t="shared" si="128"/>
        <v>0</v>
      </c>
      <c r="J422" s="123">
        <v>0.00025</v>
      </c>
      <c r="K422" s="123">
        <f t="shared" si="129"/>
        <v>0.00025</v>
      </c>
      <c r="M422" s="124" t="s">
        <v>7</v>
      </c>
      <c r="N422" s="123">
        <f t="shared" si="130"/>
        <v>0</v>
      </c>
      <c r="Y422" s="123">
        <f t="shared" si="131"/>
        <v>0</v>
      </c>
      <c r="Z422" s="123">
        <f t="shared" si="132"/>
        <v>0</v>
      </c>
      <c r="AA422" s="123">
        <f t="shared" si="133"/>
        <v>0</v>
      </c>
      <c r="AC422" s="125">
        <v>20</v>
      </c>
      <c r="AD422" s="125">
        <f>F422*0.289373380088428</f>
        <v>0</v>
      </c>
      <c r="AE422" s="125">
        <f>F422*(1-0.289373380088428)</f>
        <v>0</v>
      </c>
    </row>
    <row r="423" spans="1:31" s="90" customFormat="1" ht="11.25">
      <c r="A423" s="122" t="s">
        <v>313</v>
      </c>
      <c r="B423" s="122" t="s">
        <v>1393</v>
      </c>
      <c r="C423" s="122" t="s">
        <v>2535</v>
      </c>
      <c r="D423" s="122" t="s">
        <v>3456</v>
      </c>
      <c r="E423" s="123">
        <v>1</v>
      </c>
      <c r="F423" s="123">
        <v>0</v>
      </c>
      <c r="G423" s="123">
        <f t="shared" si="126"/>
        <v>0</v>
      </c>
      <c r="H423" s="123">
        <f t="shared" si="127"/>
        <v>0</v>
      </c>
      <c r="I423" s="123">
        <f t="shared" si="128"/>
        <v>0</v>
      </c>
      <c r="J423" s="123">
        <v>0.00391</v>
      </c>
      <c r="K423" s="123">
        <f t="shared" si="129"/>
        <v>0.00391</v>
      </c>
      <c r="M423" s="124" t="s">
        <v>7</v>
      </c>
      <c r="N423" s="123">
        <f t="shared" si="130"/>
        <v>0</v>
      </c>
      <c r="Y423" s="123">
        <f t="shared" si="131"/>
        <v>0</v>
      </c>
      <c r="Z423" s="123">
        <f t="shared" si="132"/>
        <v>0</v>
      </c>
      <c r="AA423" s="123">
        <f t="shared" si="133"/>
        <v>0</v>
      </c>
      <c r="AC423" s="125">
        <v>20</v>
      </c>
      <c r="AD423" s="125">
        <f>F423*0.479780761137302</f>
        <v>0</v>
      </c>
      <c r="AE423" s="125">
        <f>F423*(1-0.479780761137302)</f>
        <v>0</v>
      </c>
    </row>
    <row r="424" spans="1:31" s="90" customFormat="1" ht="11.25">
      <c r="A424" s="122" t="s">
        <v>314</v>
      </c>
      <c r="B424" s="122" t="s">
        <v>1394</v>
      </c>
      <c r="C424" s="122" t="s">
        <v>2536</v>
      </c>
      <c r="D424" s="122" t="s">
        <v>3456</v>
      </c>
      <c r="E424" s="123">
        <v>1</v>
      </c>
      <c r="F424" s="123">
        <v>0</v>
      </c>
      <c r="G424" s="123">
        <f t="shared" si="126"/>
        <v>0</v>
      </c>
      <c r="H424" s="123">
        <f t="shared" si="127"/>
        <v>0</v>
      </c>
      <c r="I424" s="123">
        <f t="shared" si="128"/>
        <v>0</v>
      </c>
      <c r="J424" s="123">
        <v>0.0001</v>
      </c>
      <c r="K424" s="123">
        <f t="shared" si="129"/>
        <v>0.0001</v>
      </c>
      <c r="M424" s="124" t="s">
        <v>7</v>
      </c>
      <c r="N424" s="123">
        <f t="shared" si="130"/>
        <v>0</v>
      </c>
      <c r="Y424" s="123">
        <f t="shared" si="131"/>
        <v>0</v>
      </c>
      <c r="Z424" s="123">
        <f t="shared" si="132"/>
        <v>0</v>
      </c>
      <c r="AA424" s="123">
        <f t="shared" si="133"/>
        <v>0</v>
      </c>
      <c r="AC424" s="125">
        <v>20</v>
      </c>
      <c r="AD424" s="125">
        <f>F424*0.809046763277636</f>
        <v>0</v>
      </c>
      <c r="AE424" s="125">
        <f>F424*(1-0.809046763277636)</f>
        <v>0</v>
      </c>
    </row>
    <row r="425" spans="1:31" s="90" customFormat="1" ht="11.25">
      <c r="A425" s="122" t="s">
        <v>315</v>
      </c>
      <c r="B425" s="122" t="s">
        <v>1395</v>
      </c>
      <c r="C425" s="122" t="s">
        <v>2537</v>
      </c>
      <c r="D425" s="122" t="s">
        <v>3456</v>
      </c>
      <c r="E425" s="123">
        <v>1</v>
      </c>
      <c r="F425" s="123">
        <v>0</v>
      </c>
      <c r="G425" s="123">
        <f t="shared" si="126"/>
        <v>0</v>
      </c>
      <c r="H425" s="123">
        <f t="shared" si="127"/>
        <v>0</v>
      </c>
      <c r="I425" s="123">
        <f t="shared" si="128"/>
        <v>0</v>
      </c>
      <c r="J425" s="123">
        <v>0.0021</v>
      </c>
      <c r="K425" s="123">
        <f t="shared" si="129"/>
        <v>0.0021</v>
      </c>
      <c r="M425" s="124" t="s">
        <v>7</v>
      </c>
      <c r="N425" s="123">
        <f t="shared" si="130"/>
        <v>0</v>
      </c>
      <c r="Y425" s="123">
        <f t="shared" si="131"/>
        <v>0</v>
      </c>
      <c r="Z425" s="123">
        <f t="shared" si="132"/>
        <v>0</v>
      </c>
      <c r="AA425" s="123">
        <f t="shared" si="133"/>
        <v>0</v>
      </c>
      <c r="AC425" s="125">
        <v>20</v>
      </c>
      <c r="AD425" s="125">
        <f>F425*0.973042761546309</f>
        <v>0</v>
      </c>
      <c r="AE425" s="125">
        <f>F425*(1-0.973042761546309)</f>
        <v>0</v>
      </c>
    </row>
    <row r="426" spans="1:31" s="90" customFormat="1" ht="11.25">
      <c r="A426" s="122" t="s">
        <v>316</v>
      </c>
      <c r="B426" s="122" t="s">
        <v>1396</v>
      </c>
      <c r="C426" s="122" t="s">
        <v>2538</v>
      </c>
      <c r="D426" s="122" t="s">
        <v>3456</v>
      </c>
      <c r="E426" s="123">
        <v>1</v>
      </c>
      <c r="F426" s="123">
        <v>0</v>
      </c>
      <c r="G426" s="123">
        <f t="shared" si="126"/>
        <v>0</v>
      </c>
      <c r="H426" s="123">
        <f t="shared" si="127"/>
        <v>0</v>
      </c>
      <c r="I426" s="123">
        <f t="shared" si="128"/>
        <v>0</v>
      </c>
      <c r="J426" s="123">
        <v>0.00097</v>
      </c>
      <c r="K426" s="123">
        <f t="shared" si="129"/>
        <v>0.00097</v>
      </c>
      <c r="M426" s="124" t="s">
        <v>7</v>
      </c>
      <c r="N426" s="123">
        <f t="shared" si="130"/>
        <v>0</v>
      </c>
      <c r="Y426" s="123">
        <f t="shared" si="131"/>
        <v>0</v>
      </c>
      <c r="Z426" s="123">
        <f t="shared" si="132"/>
        <v>0</v>
      </c>
      <c r="AA426" s="123">
        <f t="shared" si="133"/>
        <v>0</v>
      </c>
      <c r="AC426" s="125">
        <v>20</v>
      </c>
      <c r="AD426" s="125">
        <f>F426*0.894894855865457</f>
        <v>0</v>
      </c>
      <c r="AE426" s="125">
        <f>F426*(1-0.894894855865457)</f>
        <v>0</v>
      </c>
    </row>
    <row r="427" spans="1:31" s="90" customFormat="1" ht="11.25">
      <c r="A427" s="122" t="s">
        <v>317</v>
      </c>
      <c r="B427" s="122" t="s">
        <v>1397</v>
      </c>
      <c r="C427" s="122" t="s">
        <v>2539</v>
      </c>
      <c r="D427" s="122" t="s">
        <v>3456</v>
      </c>
      <c r="E427" s="123">
        <v>4</v>
      </c>
      <c r="F427" s="123">
        <v>0</v>
      </c>
      <c r="G427" s="123">
        <f t="shared" si="126"/>
        <v>0</v>
      </c>
      <c r="H427" s="123">
        <f t="shared" si="127"/>
        <v>0</v>
      </c>
      <c r="I427" s="123">
        <f t="shared" si="128"/>
        <v>0</v>
      </c>
      <c r="J427" s="123">
        <v>3E-05</v>
      </c>
      <c r="K427" s="123">
        <f t="shared" si="129"/>
        <v>0.00012</v>
      </c>
      <c r="M427" s="124" t="s">
        <v>7</v>
      </c>
      <c r="N427" s="123">
        <f t="shared" si="130"/>
        <v>0</v>
      </c>
      <c r="Y427" s="123">
        <f t="shared" si="131"/>
        <v>0</v>
      </c>
      <c r="Z427" s="123">
        <f t="shared" si="132"/>
        <v>0</v>
      </c>
      <c r="AA427" s="123">
        <f t="shared" si="133"/>
        <v>0</v>
      </c>
      <c r="AC427" s="125">
        <v>20</v>
      </c>
      <c r="AD427" s="125">
        <f>F427*0.0368412871133219</f>
        <v>0</v>
      </c>
      <c r="AE427" s="125">
        <f>F427*(1-0.0368412871133219)</f>
        <v>0</v>
      </c>
    </row>
    <row r="428" spans="1:31" s="90" customFormat="1" ht="11.25">
      <c r="A428" s="122" t="s">
        <v>318</v>
      </c>
      <c r="B428" s="122" t="s">
        <v>1398</v>
      </c>
      <c r="C428" s="122" t="s">
        <v>2540</v>
      </c>
      <c r="D428" s="122" t="s">
        <v>3456</v>
      </c>
      <c r="E428" s="123">
        <v>3</v>
      </c>
      <c r="F428" s="123">
        <v>0</v>
      </c>
      <c r="G428" s="123">
        <f t="shared" si="126"/>
        <v>0</v>
      </c>
      <c r="H428" s="123">
        <f t="shared" si="127"/>
        <v>0</v>
      </c>
      <c r="I428" s="123">
        <f t="shared" si="128"/>
        <v>0</v>
      </c>
      <c r="J428" s="123">
        <v>3E-05</v>
      </c>
      <c r="K428" s="123">
        <f t="shared" si="129"/>
        <v>9E-05</v>
      </c>
      <c r="M428" s="124" t="s">
        <v>7</v>
      </c>
      <c r="N428" s="123">
        <f t="shared" si="130"/>
        <v>0</v>
      </c>
      <c r="Y428" s="123">
        <f t="shared" si="131"/>
        <v>0</v>
      </c>
      <c r="Z428" s="123">
        <f t="shared" si="132"/>
        <v>0</v>
      </c>
      <c r="AA428" s="123">
        <f t="shared" si="133"/>
        <v>0</v>
      </c>
      <c r="AC428" s="125">
        <v>20</v>
      </c>
      <c r="AD428" s="125">
        <f>F428*0.0335503963759909</f>
        <v>0</v>
      </c>
      <c r="AE428" s="125">
        <f>F428*(1-0.0335503963759909)</f>
        <v>0</v>
      </c>
    </row>
    <row r="429" spans="1:31" s="90" customFormat="1" ht="11.25">
      <c r="A429" s="122" t="s">
        <v>319</v>
      </c>
      <c r="B429" s="122" t="s">
        <v>1399</v>
      </c>
      <c r="C429" s="122" t="s">
        <v>2541</v>
      </c>
      <c r="D429" s="122" t="s">
        <v>3456</v>
      </c>
      <c r="E429" s="123">
        <v>2</v>
      </c>
      <c r="F429" s="123">
        <v>0</v>
      </c>
      <c r="G429" s="123">
        <f t="shared" si="126"/>
        <v>0</v>
      </c>
      <c r="H429" s="123">
        <f t="shared" si="127"/>
        <v>0</v>
      </c>
      <c r="I429" s="123">
        <f t="shared" si="128"/>
        <v>0</v>
      </c>
      <c r="J429" s="123">
        <v>3E-05</v>
      </c>
      <c r="K429" s="123">
        <f t="shared" si="129"/>
        <v>6E-05</v>
      </c>
      <c r="M429" s="124" t="s">
        <v>7</v>
      </c>
      <c r="N429" s="123">
        <f t="shared" si="130"/>
        <v>0</v>
      </c>
      <c r="Y429" s="123">
        <f t="shared" si="131"/>
        <v>0</v>
      </c>
      <c r="Z429" s="123">
        <f t="shared" si="132"/>
        <v>0</v>
      </c>
      <c r="AA429" s="123">
        <f t="shared" si="133"/>
        <v>0</v>
      </c>
      <c r="AC429" s="125">
        <v>20</v>
      </c>
      <c r="AD429" s="125">
        <f>F429*0.028471888515137</f>
        <v>0</v>
      </c>
      <c r="AE429" s="125">
        <f>F429*(1-0.028471888515137)</f>
        <v>0</v>
      </c>
    </row>
    <row r="430" spans="1:31" s="90" customFormat="1" ht="11.25">
      <c r="A430" s="122" t="s">
        <v>320</v>
      </c>
      <c r="B430" s="122" t="s">
        <v>1400</v>
      </c>
      <c r="C430" s="122" t="s">
        <v>2542</v>
      </c>
      <c r="D430" s="122" t="s">
        <v>3460</v>
      </c>
      <c r="E430" s="123">
        <v>3.08694</v>
      </c>
      <c r="F430" s="123">
        <v>0</v>
      </c>
      <c r="G430" s="123">
        <f t="shared" si="126"/>
        <v>0</v>
      </c>
      <c r="H430" s="123">
        <f t="shared" si="127"/>
        <v>0</v>
      </c>
      <c r="I430" s="123">
        <f t="shared" si="128"/>
        <v>0</v>
      </c>
      <c r="J430" s="123">
        <v>0</v>
      </c>
      <c r="K430" s="123">
        <f t="shared" si="129"/>
        <v>0</v>
      </c>
      <c r="M430" s="124" t="s">
        <v>11</v>
      </c>
      <c r="N430" s="123">
        <f t="shared" si="130"/>
        <v>0</v>
      </c>
      <c r="Y430" s="123">
        <f t="shared" si="131"/>
        <v>0</v>
      </c>
      <c r="Z430" s="123">
        <f t="shared" si="132"/>
        <v>0</v>
      </c>
      <c r="AA430" s="123">
        <f t="shared" si="133"/>
        <v>0</v>
      </c>
      <c r="AC430" s="125">
        <v>20</v>
      </c>
      <c r="AD430" s="125">
        <f>F430*0</f>
        <v>0</v>
      </c>
      <c r="AE430" s="125">
        <f>F430*(1-0)</f>
        <v>0</v>
      </c>
    </row>
    <row r="431" spans="1:36" s="90" customFormat="1" ht="11.25">
      <c r="A431" s="127"/>
      <c r="B431" s="128" t="s">
        <v>731</v>
      </c>
      <c r="C431" s="129" t="s">
        <v>2543</v>
      </c>
      <c r="D431" s="130"/>
      <c r="E431" s="130"/>
      <c r="F431" s="130"/>
      <c r="G431" s="121">
        <f>SUM(G432:G454)</f>
        <v>0</v>
      </c>
      <c r="H431" s="121">
        <f>SUM(H432:H454)</f>
        <v>0</v>
      </c>
      <c r="I431" s="121">
        <f>G431+H431</f>
        <v>0</v>
      </c>
      <c r="J431" s="114"/>
      <c r="K431" s="121">
        <f>SUM(K432:K454)</f>
        <v>0.68839</v>
      </c>
      <c r="O431" s="121">
        <f>IF(P431="PR",I431,SUM(N432:N454))</f>
        <v>0</v>
      </c>
      <c r="P431" s="114" t="s">
        <v>3490</v>
      </c>
      <c r="Q431" s="121">
        <f>IF(P431="HS",G431,0)</f>
        <v>0</v>
      </c>
      <c r="R431" s="121">
        <f>IF(P431="HS",H431-O431,0)</f>
        <v>0</v>
      </c>
      <c r="S431" s="121">
        <f>IF(P431="PS",G431,0)</f>
        <v>0</v>
      </c>
      <c r="T431" s="121">
        <f>IF(P431="PS",H431-O431,0)</f>
        <v>0</v>
      </c>
      <c r="U431" s="121">
        <f>IF(P431="MP",G431,0)</f>
        <v>0</v>
      </c>
      <c r="V431" s="121">
        <f>IF(P431="MP",H431-O431,0)</f>
        <v>0</v>
      </c>
      <c r="W431" s="121">
        <f>IF(P431="OM",G431,0)</f>
        <v>0</v>
      </c>
      <c r="X431" s="114"/>
      <c r="AH431" s="121">
        <f>SUM(Y432:Y454)</f>
        <v>0</v>
      </c>
      <c r="AI431" s="121">
        <f>SUM(Z432:Z454)</f>
        <v>0</v>
      </c>
      <c r="AJ431" s="121">
        <f>SUM(AA432:AA454)</f>
        <v>0</v>
      </c>
    </row>
    <row r="432" spans="1:31" s="90" customFormat="1" ht="11.25">
      <c r="A432" s="122" t="s">
        <v>321</v>
      </c>
      <c r="B432" s="122" t="s">
        <v>1401</v>
      </c>
      <c r="C432" s="122" t="s">
        <v>2544</v>
      </c>
      <c r="D432" s="122" t="s">
        <v>3456</v>
      </c>
      <c r="E432" s="123">
        <v>1</v>
      </c>
      <c r="F432" s="123">
        <v>0</v>
      </c>
      <c r="G432" s="123">
        <f aca="true" t="shared" si="134" ref="G432:G444">ROUND(E432*AD432,2)</f>
        <v>0</v>
      </c>
      <c r="H432" s="123">
        <f aca="true" t="shared" si="135" ref="H432:H444">I432-G432</f>
        <v>0</v>
      </c>
      <c r="I432" s="123">
        <f aca="true" t="shared" si="136" ref="I432:I444">ROUND(E432*F432,2)</f>
        <v>0</v>
      </c>
      <c r="J432" s="123">
        <v>0</v>
      </c>
      <c r="K432" s="123">
        <f aca="true" t="shared" si="137" ref="K432:K444">E432*J432</f>
        <v>0</v>
      </c>
      <c r="M432" s="124" t="s">
        <v>8</v>
      </c>
      <c r="N432" s="123">
        <f aca="true" t="shared" si="138" ref="N432:N444">IF(M432="5",H432,0)</f>
        <v>0</v>
      </c>
      <c r="Y432" s="123">
        <f aca="true" t="shared" si="139" ref="Y432:Y444">IF(AC432=0,I432,0)</f>
        <v>0</v>
      </c>
      <c r="Z432" s="123">
        <f aca="true" t="shared" si="140" ref="Z432:Z444">IF(AC432=14,I432,0)</f>
        <v>0</v>
      </c>
      <c r="AA432" s="123">
        <f aca="true" t="shared" si="141" ref="AA432:AA444">IF(AC432=20,I432,0)</f>
        <v>0</v>
      </c>
      <c r="AC432" s="125">
        <v>20</v>
      </c>
      <c r="AD432" s="125">
        <f>F432*0</f>
        <v>0</v>
      </c>
      <c r="AE432" s="125">
        <f>F432*(1-0)</f>
        <v>0</v>
      </c>
    </row>
    <row r="433" spans="1:31" s="90" customFormat="1" ht="11.25">
      <c r="A433" s="131" t="s">
        <v>322</v>
      </c>
      <c r="B433" s="131" t="s">
        <v>1402</v>
      </c>
      <c r="C433" s="131" t="s">
        <v>2545</v>
      </c>
      <c r="D433" s="131" t="s">
        <v>3456</v>
      </c>
      <c r="E433" s="132">
        <v>1</v>
      </c>
      <c r="F433" s="132">
        <v>0</v>
      </c>
      <c r="G433" s="132">
        <f t="shared" si="134"/>
        <v>0</v>
      </c>
      <c r="H433" s="132">
        <f t="shared" si="135"/>
        <v>0</v>
      </c>
      <c r="I433" s="132">
        <f t="shared" si="136"/>
        <v>0</v>
      </c>
      <c r="J433" s="132">
        <v>0.0012</v>
      </c>
      <c r="K433" s="132">
        <f t="shared" si="137"/>
        <v>0.0012</v>
      </c>
      <c r="M433" s="133" t="s">
        <v>1101</v>
      </c>
      <c r="N433" s="132">
        <f t="shared" si="138"/>
        <v>0</v>
      </c>
      <c r="Y433" s="132">
        <f t="shared" si="139"/>
        <v>0</v>
      </c>
      <c r="Z433" s="132">
        <f t="shared" si="140"/>
        <v>0</v>
      </c>
      <c r="AA433" s="132">
        <f t="shared" si="141"/>
        <v>0</v>
      </c>
      <c r="AC433" s="125">
        <v>20</v>
      </c>
      <c r="AD433" s="125">
        <f>F433*1</f>
        <v>0</v>
      </c>
      <c r="AE433" s="125">
        <f>F433*(1-1)</f>
        <v>0</v>
      </c>
    </row>
    <row r="434" spans="1:31" s="90" customFormat="1" ht="11.25">
      <c r="A434" s="131" t="s">
        <v>323</v>
      </c>
      <c r="B434" s="131" t="s">
        <v>1403</v>
      </c>
      <c r="C434" s="131" t="s">
        <v>2546</v>
      </c>
      <c r="D434" s="131" t="s">
        <v>3456</v>
      </c>
      <c r="E434" s="132">
        <v>4</v>
      </c>
      <c r="F434" s="132">
        <v>0</v>
      </c>
      <c r="G434" s="132">
        <f t="shared" si="134"/>
        <v>0</v>
      </c>
      <c r="H434" s="132">
        <f t="shared" si="135"/>
        <v>0</v>
      </c>
      <c r="I434" s="132">
        <f t="shared" si="136"/>
        <v>0</v>
      </c>
      <c r="J434" s="132">
        <v>0.015</v>
      </c>
      <c r="K434" s="132">
        <f t="shared" si="137"/>
        <v>0.06</v>
      </c>
      <c r="M434" s="133" t="s">
        <v>1101</v>
      </c>
      <c r="N434" s="132">
        <f t="shared" si="138"/>
        <v>0</v>
      </c>
      <c r="Y434" s="132">
        <f t="shared" si="139"/>
        <v>0</v>
      </c>
      <c r="Z434" s="132">
        <f t="shared" si="140"/>
        <v>0</v>
      </c>
      <c r="AA434" s="132">
        <f t="shared" si="141"/>
        <v>0</v>
      </c>
      <c r="AC434" s="125">
        <v>20</v>
      </c>
      <c r="AD434" s="125">
        <f>F434*1</f>
        <v>0</v>
      </c>
      <c r="AE434" s="125">
        <f>F434*(1-1)</f>
        <v>0</v>
      </c>
    </row>
    <row r="435" spans="1:31" s="90" customFormat="1" ht="11.25">
      <c r="A435" s="131" t="s">
        <v>324</v>
      </c>
      <c r="B435" s="131" t="s">
        <v>1404</v>
      </c>
      <c r="C435" s="131" t="s">
        <v>2547</v>
      </c>
      <c r="D435" s="131" t="s">
        <v>3456</v>
      </c>
      <c r="E435" s="132">
        <v>4</v>
      </c>
      <c r="F435" s="132">
        <v>0</v>
      </c>
      <c r="G435" s="132">
        <f t="shared" si="134"/>
        <v>0</v>
      </c>
      <c r="H435" s="132">
        <f t="shared" si="135"/>
        <v>0</v>
      </c>
      <c r="I435" s="132">
        <f t="shared" si="136"/>
        <v>0</v>
      </c>
      <c r="J435" s="132">
        <v>0.038</v>
      </c>
      <c r="K435" s="132">
        <f t="shared" si="137"/>
        <v>0.152</v>
      </c>
      <c r="M435" s="133" t="s">
        <v>1101</v>
      </c>
      <c r="N435" s="132">
        <f t="shared" si="138"/>
        <v>0</v>
      </c>
      <c r="Y435" s="132">
        <f t="shared" si="139"/>
        <v>0</v>
      </c>
      <c r="Z435" s="132">
        <f t="shared" si="140"/>
        <v>0</v>
      </c>
      <c r="AA435" s="132">
        <f t="shared" si="141"/>
        <v>0</v>
      </c>
      <c r="AC435" s="125">
        <v>20</v>
      </c>
      <c r="AD435" s="125">
        <f>F435*1</f>
        <v>0</v>
      </c>
      <c r="AE435" s="125">
        <f>F435*(1-1)</f>
        <v>0</v>
      </c>
    </row>
    <row r="436" spans="1:31" s="90" customFormat="1" ht="11.25">
      <c r="A436" s="122" t="s">
        <v>325</v>
      </c>
      <c r="B436" s="122" t="s">
        <v>1405</v>
      </c>
      <c r="C436" s="122" t="s">
        <v>2548</v>
      </c>
      <c r="D436" s="122" t="s">
        <v>3463</v>
      </c>
      <c r="E436" s="123">
        <v>11</v>
      </c>
      <c r="F436" s="123">
        <v>0</v>
      </c>
      <c r="G436" s="123">
        <f t="shared" si="134"/>
        <v>0</v>
      </c>
      <c r="H436" s="123">
        <f t="shared" si="135"/>
        <v>0</v>
      </c>
      <c r="I436" s="123">
        <f t="shared" si="136"/>
        <v>0</v>
      </c>
      <c r="J436" s="123">
        <v>0.01421</v>
      </c>
      <c r="K436" s="123">
        <f t="shared" si="137"/>
        <v>0.15631</v>
      </c>
      <c r="M436" s="124" t="s">
        <v>7</v>
      </c>
      <c r="N436" s="123">
        <f t="shared" si="138"/>
        <v>0</v>
      </c>
      <c r="Y436" s="123">
        <f t="shared" si="139"/>
        <v>0</v>
      </c>
      <c r="Z436" s="123">
        <f t="shared" si="140"/>
        <v>0</v>
      </c>
      <c r="AA436" s="123">
        <f t="shared" si="141"/>
        <v>0</v>
      </c>
      <c r="AC436" s="125">
        <v>20</v>
      </c>
      <c r="AD436" s="125">
        <f>F436*0.806144266476612</f>
        <v>0</v>
      </c>
      <c r="AE436" s="125">
        <f>F436*(1-0.806144266476612)</f>
        <v>0</v>
      </c>
    </row>
    <row r="437" spans="1:31" s="90" customFormat="1" ht="11.25">
      <c r="A437" s="122" t="s">
        <v>326</v>
      </c>
      <c r="B437" s="122" t="s">
        <v>1406</v>
      </c>
      <c r="C437" s="122" t="s">
        <v>2549</v>
      </c>
      <c r="D437" s="122" t="s">
        <v>3463</v>
      </c>
      <c r="E437" s="123">
        <v>4</v>
      </c>
      <c r="F437" s="123">
        <v>0</v>
      </c>
      <c r="G437" s="123">
        <f t="shared" si="134"/>
        <v>0</v>
      </c>
      <c r="H437" s="123">
        <f t="shared" si="135"/>
        <v>0</v>
      </c>
      <c r="I437" s="123">
        <f t="shared" si="136"/>
        <v>0</v>
      </c>
      <c r="J437" s="123">
        <v>0.01444</v>
      </c>
      <c r="K437" s="123">
        <f t="shared" si="137"/>
        <v>0.05776</v>
      </c>
      <c r="M437" s="124" t="s">
        <v>7</v>
      </c>
      <c r="N437" s="123">
        <f t="shared" si="138"/>
        <v>0</v>
      </c>
      <c r="Y437" s="123">
        <f t="shared" si="139"/>
        <v>0</v>
      </c>
      <c r="Z437" s="123">
        <f t="shared" si="140"/>
        <v>0</v>
      </c>
      <c r="AA437" s="123">
        <f t="shared" si="141"/>
        <v>0</v>
      </c>
      <c r="AC437" s="125">
        <v>20</v>
      </c>
      <c r="AD437" s="125">
        <f>F437*0.90289189727458</f>
        <v>0</v>
      </c>
      <c r="AE437" s="125">
        <f>F437*(1-0.90289189727458)</f>
        <v>0</v>
      </c>
    </row>
    <row r="438" spans="1:31" s="90" customFormat="1" ht="11.25">
      <c r="A438" s="122" t="s">
        <v>327</v>
      </c>
      <c r="B438" s="122" t="s">
        <v>1407</v>
      </c>
      <c r="C438" s="122" t="s">
        <v>2550</v>
      </c>
      <c r="D438" s="122" t="s">
        <v>3456</v>
      </c>
      <c r="E438" s="123">
        <v>5</v>
      </c>
      <c r="F438" s="123">
        <v>0</v>
      </c>
      <c r="G438" s="123">
        <f t="shared" si="134"/>
        <v>0</v>
      </c>
      <c r="H438" s="123">
        <f t="shared" si="135"/>
        <v>0</v>
      </c>
      <c r="I438" s="123">
        <f t="shared" si="136"/>
        <v>0</v>
      </c>
      <c r="J438" s="123">
        <v>0.03212</v>
      </c>
      <c r="K438" s="123">
        <f t="shared" si="137"/>
        <v>0.16060000000000002</v>
      </c>
      <c r="M438" s="124" t="s">
        <v>9</v>
      </c>
      <c r="N438" s="123">
        <f t="shared" si="138"/>
        <v>0</v>
      </c>
      <c r="Y438" s="123">
        <f t="shared" si="139"/>
        <v>0</v>
      </c>
      <c r="Z438" s="123">
        <f t="shared" si="140"/>
        <v>0</v>
      </c>
      <c r="AA438" s="123">
        <f t="shared" si="141"/>
        <v>0</v>
      </c>
      <c r="AC438" s="125">
        <v>20</v>
      </c>
      <c r="AD438" s="125">
        <f>F438*0.852335554258084</f>
        <v>0</v>
      </c>
      <c r="AE438" s="125">
        <f>F438*(1-0.852335554258084)</f>
        <v>0</v>
      </c>
    </row>
    <row r="439" spans="1:31" s="90" customFormat="1" ht="11.25">
      <c r="A439" s="122" t="s">
        <v>328</v>
      </c>
      <c r="B439" s="122" t="s">
        <v>1408</v>
      </c>
      <c r="C439" s="122" t="s">
        <v>2551</v>
      </c>
      <c r="D439" s="122" t="s">
        <v>3463</v>
      </c>
      <c r="E439" s="123">
        <v>4</v>
      </c>
      <c r="F439" s="123">
        <v>0</v>
      </c>
      <c r="G439" s="123">
        <f t="shared" si="134"/>
        <v>0</v>
      </c>
      <c r="H439" s="123">
        <f t="shared" si="135"/>
        <v>0</v>
      </c>
      <c r="I439" s="123">
        <f t="shared" si="136"/>
        <v>0</v>
      </c>
      <c r="J439" s="123">
        <v>0.016</v>
      </c>
      <c r="K439" s="123">
        <f t="shared" si="137"/>
        <v>0.064</v>
      </c>
      <c r="M439" s="124" t="s">
        <v>7</v>
      </c>
      <c r="N439" s="123">
        <f t="shared" si="138"/>
        <v>0</v>
      </c>
      <c r="Y439" s="123">
        <f t="shared" si="139"/>
        <v>0</v>
      </c>
      <c r="Z439" s="123">
        <f t="shared" si="140"/>
        <v>0</v>
      </c>
      <c r="AA439" s="123">
        <f t="shared" si="141"/>
        <v>0</v>
      </c>
      <c r="AC439" s="125">
        <v>20</v>
      </c>
      <c r="AD439" s="125">
        <f>F439*0.963249002362334</f>
        <v>0</v>
      </c>
      <c r="AE439" s="125">
        <f>F439*(1-0.963249002362334)</f>
        <v>0</v>
      </c>
    </row>
    <row r="440" spans="1:31" s="90" customFormat="1" ht="11.25">
      <c r="A440" s="122" t="s">
        <v>329</v>
      </c>
      <c r="B440" s="122" t="s">
        <v>1409</v>
      </c>
      <c r="C440" s="122" t="s">
        <v>2552</v>
      </c>
      <c r="D440" s="122" t="s">
        <v>3463</v>
      </c>
      <c r="E440" s="123">
        <v>4</v>
      </c>
      <c r="F440" s="123">
        <v>0</v>
      </c>
      <c r="G440" s="123">
        <f t="shared" si="134"/>
        <v>0</v>
      </c>
      <c r="H440" s="123">
        <f t="shared" si="135"/>
        <v>0</v>
      </c>
      <c r="I440" s="123">
        <f t="shared" si="136"/>
        <v>0</v>
      </c>
      <c r="J440" s="123">
        <v>0.00062</v>
      </c>
      <c r="K440" s="123">
        <f t="shared" si="137"/>
        <v>0.00248</v>
      </c>
      <c r="M440" s="124" t="s">
        <v>7</v>
      </c>
      <c r="N440" s="123">
        <f t="shared" si="138"/>
        <v>0</v>
      </c>
      <c r="Y440" s="123">
        <f t="shared" si="139"/>
        <v>0</v>
      </c>
      <c r="Z440" s="123">
        <f t="shared" si="140"/>
        <v>0</v>
      </c>
      <c r="AA440" s="123">
        <f t="shared" si="141"/>
        <v>0</v>
      </c>
      <c r="AC440" s="125">
        <v>20</v>
      </c>
      <c r="AD440" s="125">
        <f>F440*0.387548100102796</f>
        <v>0</v>
      </c>
      <c r="AE440" s="125">
        <f>F440*(1-0.387548100102796)</f>
        <v>0</v>
      </c>
    </row>
    <row r="441" spans="1:31" s="90" customFormat="1" ht="11.25">
      <c r="A441" s="122" t="s">
        <v>330</v>
      </c>
      <c r="B441" s="122" t="s">
        <v>1410</v>
      </c>
      <c r="C441" s="122" t="s">
        <v>2553</v>
      </c>
      <c r="D441" s="122" t="s">
        <v>3463</v>
      </c>
      <c r="E441" s="123">
        <v>4</v>
      </c>
      <c r="F441" s="123">
        <v>0</v>
      </c>
      <c r="G441" s="123">
        <f t="shared" si="134"/>
        <v>0</v>
      </c>
      <c r="H441" s="123">
        <f t="shared" si="135"/>
        <v>0</v>
      </c>
      <c r="I441" s="123">
        <f t="shared" si="136"/>
        <v>0</v>
      </c>
      <c r="J441" s="123">
        <v>0.00017</v>
      </c>
      <c r="K441" s="123">
        <f t="shared" si="137"/>
        <v>0.00068</v>
      </c>
      <c r="M441" s="124" t="s">
        <v>7</v>
      </c>
      <c r="N441" s="123">
        <f t="shared" si="138"/>
        <v>0</v>
      </c>
      <c r="Y441" s="123">
        <f t="shared" si="139"/>
        <v>0</v>
      </c>
      <c r="Z441" s="123">
        <f t="shared" si="140"/>
        <v>0</v>
      </c>
      <c r="AA441" s="123">
        <f t="shared" si="141"/>
        <v>0</v>
      </c>
      <c r="AC441" s="125">
        <v>20</v>
      </c>
      <c r="AD441" s="125">
        <f>F441*0.0484800871779926</f>
        <v>0</v>
      </c>
      <c r="AE441" s="125">
        <f>F441*(1-0.0484800871779926)</f>
        <v>0</v>
      </c>
    </row>
    <row r="442" spans="1:31" s="90" customFormat="1" ht="11.25">
      <c r="A442" s="122" t="s">
        <v>331</v>
      </c>
      <c r="B442" s="122" t="s">
        <v>1411</v>
      </c>
      <c r="C442" s="122" t="s">
        <v>2554</v>
      </c>
      <c r="D442" s="122" t="s">
        <v>3463</v>
      </c>
      <c r="E442" s="123">
        <v>5</v>
      </c>
      <c r="F442" s="123">
        <v>0</v>
      </c>
      <c r="G442" s="123">
        <f t="shared" si="134"/>
        <v>0</v>
      </c>
      <c r="H442" s="123">
        <f t="shared" si="135"/>
        <v>0</v>
      </c>
      <c r="I442" s="123">
        <f t="shared" si="136"/>
        <v>0</v>
      </c>
      <c r="J442" s="123">
        <v>0.001</v>
      </c>
      <c r="K442" s="123">
        <f t="shared" si="137"/>
        <v>0.005</v>
      </c>
      <c r="M442" s="124" t="s">
        <v>7</v>
      </c>
      <c r="N442" s="123">
        <f t="shared" si="138"/>
        <v>0</v>
      </c>
      <c r="Y442" s="123">
        <f t="shared" si="139"/>
        <v>0</v>
      </c>
      <c r="Z442" s="123">
        <f t="shared" si="140"/>
        <v>0</v>
      </c>
      <c r="AA442" s="123">
        <f t="shared" si="141"/>
        <v>0</v>
      </c>
      <c r="AC442" s="125">
        <v>20</v>
      </c>
      <c r="AD442" s="125">
        <f>F442*0.92424397221087</f>
        <v>0</v>
      </c>
      <c r="AE442" s="125">
        <f>F442*(1-0.92424397221087)</f>
        <v>0</v>
      </c>
    </row>
    <row r="443" spans="1:31" s="90" customFormat="1" ht="11.25">
      <c r="A443" s="122" t="s">
        <v>332</v>
      </c>
      <c r="B443" s="122" t="s">
        <v>1412</v>
      </c>
      <c r="C443" s="122" t="s">
        <v>2555</v>
      </c>
      <c r="D443" s="122" t="s">
        <v>3463</v>
      </c>
      <c r="E443" s="123">
        <v>2</v>
      </c>
      <c r="F443" s="123">
        <v>0</v>
      </c>
      <c r="G443" s="123">
        <f t="shared" si="134"/>
        <v>0</v>
      </c>
      <c r="H443" s="123">
        <f t="shared" si="135"/>
        <v>0</v>
      </c>
      <c r="I443" s="123">
        <f t="shared" si="136"/>
        <v>0</v>
      </c>
      <c r="J443" s="123">
        <v>0.00319</v>
      </c>
      <c r="K443" s="123">
        <f t="shared" si="137"/>
        <v>0.00638</v>
      </c>
      <c r="M443" s="124" t="s">
        <v>7</v>
      </c>
      <c r="N443" s="123">
        <f t="shared" si="138"/>
        <v>0</v>
      </c>
      <c r="Y443" s="123">
        <f t="shared" si="139"/>
        <v>0</v>
      </c>
      <c r="Z443" s="123">
        <f t="shared" si="140"/>
        <v>0</v>
      </c>
      <c r="AA443" s="123">
        <f t="shared" si="141"/>
        <v>0</v>
      </c>
      <c r="AC443" s="125">
        <v>20</v>
      </c>
      <c r="AD443" s="125">
        <f>F443*0.760189443483397</f>
        <v>0</v>
      </c>
      <c r="AE443" s="125">
        <f>F443*(1-0.760189443483397)</f>
        <v>0</v>
      </c>
    </row>
    <row r="444" spans="1:31" s="90" customFormat="1" ht="11.25">
      <c r="A444" s="122" t="s">
        <v>333</v>
      </c>
      <c r="B444" s="122" t="s">
        <v>1413</v>
      </c>
      <c r="C444" s="122" t="s">
        <v>2556</v>
      </c>
      <c r="D444" s="122" t="s">
        <v>3456</v>
      </c>
      <c r="E444" s="123">
        <v>11</v>
      </c>
      <c r="F444" s="123">
        <v>0</v>
      </c>
      <c r="G444" s="123">
        <f t="shared" si="134"/>
        <v>0</v>
      </c>
      <c r="H444" s="123">
        <f t="shared" si="135"/>
        <v>0</v>
      </c>
      <c r="I444" s="123">
        <f t="shared" si="136"/>
        <v>0</v>
      </c>
      <c r="J444" s="123">
        <v>0.001</v>
      </c>
      <c r="K444" s="123">
        <f t="shared" si="137"/>
        <v>0.011</v>
      </c>
      <c r="M444" s="124" t="s">
        <v>7</v>
      </c>
      <c r="N444" s="123">
        <f t="shared" si="138"/>
        <v>0</v>
      </c>
      <c r="Y444" s="123">
        <f t="shared" si="139"/>
        <v>0</v>
      </c>
      <c r="Z444" s="123">
        <f t="shared" si="140"/>
        <v>0</v>
      </c>
      <c r="AA444" s="123">
        <f t="shared" si="141"/>
        <v>0</v>
      </c>
      <c r="AC444" s="125">
        <v>20</v>
      </c>
      <c r="AD444" s="125">
        <f>F444*0.874740663900415</f>
        <v>0</v>
      </c>
      <c r="AE444" s="125">
        <f>F444*(1-0.874740663900415)</f>
        <v>0</v>
      </c>
    </row>
    <row r="445" s="90" customFormat="1" ht="11.25">
      <c r="C445" s="126" t="s">
        <v>2557</v>
      </c>
    </row>
    <row r="446" spans="1:31" s="90" customFormat="1" ht="11.25">
      <c r="A446" s="122" t="s">
        <v>334</v>
      </c>
      <c r="B446" s="122" t="s">
        <v>1414</v>
      </c>
      <c r="C446" s="122" t="s">
        <v>2558</v>
      </c>
      <c r="D446" s="122" t="s">
        <v>3456</v>
      </c>
      <c r="E446" s="123">
        <v>4</v>
      </c>
      <c r="F446" s="123">
        <v>0</v>
      </c>
      <c r="G446" s="123">
        <f>ROUND(E446*AD446,2)</f>
        <v>0</v>
      </c>
      <c r="H446" s="123">
        <f>I446-G446</f>
        <v>0</v>
      </c>
      <c r="I446" s="123">
        <f>ROUND(E446*F446,2)</f>
        <v>0</v>
      </c>
      <c r="J446" s="123">
        <v>0.00102</v>
      </c>
      <c r="K446" s="123">
        <f>E446*J446</f>
        <v>0.00408</v>
      </c>
      <c r="M446" s="124" t="s">
        <v>7</v>
      </c>
      <c r="N446" s="123">
        <f>IF(M446="5",H446,0)</f>
        <v>0</v>
      </c>
      <c r="Y446" s="123">
        <f>IF(AC446=0,I446,0)</f>
        <v>0</v>
      </c>
      <c r="Z446" s="123">
        <f>IF(AC446=14,I446,0)</f>
        <v>0</v>
      </c>
      <c r="AA446" s="123">
        <f>IF(AC446=20,I446,0)</f>
        <v>0</v>
      </c>
      <c r="AC446" s="125">
        <v>20</v>
      </c>
      <c r="AD446" s="125">
        <f>F446*0.934423787074186</f>
        <v>0</v>
      </c>
      <c r="AE446" s="125">
        <f>F446*(1-0.934423787074186)</f>
        <v>0</v>
      </c>
    </row>
    <row r="447" spans="1:31" s="90" customFormat="1" ht="11.25">
      <c r="A447" s="122" t="s">
        <v>335</v>
      </c>
      <c r="B447" s="122" t="s">
        <v>1415</v>
      </c>
      <c r="C447" s="122" t="s">
        <v>2559</v>
      </c>
      <c r="D447" s="122" t="s">
        <v>3456</v>
      </c>
      <c r="E447" s="123">
        <v>2</v>
      </c>
      <c r="F447" s="123">
        <v>0</v>
      </c>
      <c r="G447" s="123">
        <f>ROUND(E447*AD447,2)</f>
        <v>0</v>
      </c>
      <c r="H447" s="123">
        <f>I447-G447</f>
        <v>0</v>
      </c>
      <c r="I447" s="123">
        <f>ROUND(E447*F447,2)</f>
        <v>0</v>
      </c>
      <c r="J447" s="123">
        <v>0.00132</v>
      </c>
      <c r="K447" s="123">
        <f>E447*J447</f>
        <v>0.00264</v>
      </c>
      <c r="M447" s="124" t="s">
        <v>7</v>
      </c>
      <c r="N447" s="123">
        <f>IF(M447="5",H447,0)</f>
        <v>0</v>
      </c>
      <c r="Y447" s="123">
        <f>IF(AC447=0,I447,0)</f>
        <v>0</v>
      </c>
      <c r="Z447" s="123">
        <f>IF(AC447=14,I447,0)</f>
        <v>0</v>
      </c>
      <c r="AA447" s="123">
        <f>IF(AC447=20,I447,0)</f>
        <v>0</v>
      </c>
      <c r="AC447" s="125">
        <v>20</v>
      </c>
      <c r="AD447" s="125">
        <f>F447*0.877492594286169</f>
        <v>0</v>
      </c>
      <c r="AE447" s="125">
        <f>F447*(1-0.877492594286169)</f>
        <v>0</v>
      </c>
    </row>
    <row r="448" s="90" customFormat="1" ht="11.25">
      <c r="C448" s="126" t="s">
        <v>2557</v>
      </c>
    </row>
    <row r="449" spans="1:31" s="90" customFormat="1" ht="11.25">
      <c r="A449" s="122" t="s">
        <v>336</v>
      </c>
      <c r="B449" s="122" t="s">
        <v>1416</v>
      </c>
      <c r="C449" s="122" t="s">
        <v>2560</v>
      </c>
      <c r="D449" s="122" t="s">
        <v>3456</v>
      </c>
      <c r="E449" s="123">
        <v>9</v>
      </c>
      <c r="F449" s="123">
        <v>0</v>
      </c>
      <c r="G449" s="123">
        <f aca="true" t="shared" si="142" ref="G449:G454">ROUND(E449*AD449,2)</f>
        <v>0</v>
      </c>
      <c r="H449" s="123">
        <f aca="true" t="shared" si="143" ref="H449:H454">I449-G449</f>
        <v>0</v>
      </c>
      <c r="I449" s="123">
        <f aca="true" t="shared" si="144" ref="I449:I454">ROUND(E449*F449,2)</f>
        <v>0</v>
      </c>
      <c r="J449" s="123">
        <v>0.00012</v>
      </c>
      <c r="K449" s="123">
        <f aca="true" t="shared" si="145" ref="K449:K454">E449*J449</f>
        <v>0.00108</v>
      </c>
      <c r="M449" s="124" t="s">
        <v>7</v>
      </c>
      <c r="N449" s="123">
        <f aca="true" t="shared" si="146" ref="N449:N454">IF(M449="5",H449,0)</f>
        <v>0</v>
      </c>
      <c r="Y449" s="123">
        <f aca="true" t="shared" si="147" ref="Y449:Y454">IF(AC449=0,I449,0)</f>
        <v>0</v>
      </c>
      <c r="Z449" s="123">
        <f aca="true" t="shared" si="148" ref="Z449:Z454">IF(AC449=14,I449,0)</f>
        <v>0</v>
      </c>
      <c r="AA449" s="123">
        <f aca="true" t="shared" si="149" ref="AA449:AA454">IF(AC449=20,I449,0)</f>
        <v>0</v>
      </c>
      <c r="AC449" s="125">
        <v>20</v>
      </c>
      <c r="AD449" s="125">
        <f>F449*0.943633194897656</f>
        <v>0</v>
      </c>
      <c r="AE449" s="125">
        <f>F449*(1-0.943633194897656)</f>
        <v>0</v>
      </c>
    </row>
    <row r="450" spans="1:31" s="90" customFormat="1" ht="11.25">
      <c r="A450" s="122" t="s">
        <v>337</v>
      </c>
      <c r="B450" s="122" t="s">
        <v>1417</v>
      </c>
      <c r="C450" s="122" t="s">
        <v>2561</v>
      </c>
      <c r="D450" s="122" t="s">
        <v>3456</v>
      </c>
      <c r="E450" s="123">
        <v>2</v>
      </c>
      <c r="F450" s="123">
        <v>0</v>
      </c>
      <c r="G450" s="123">
        <f t="shared" si="142"/>
        <v>0</v>
      </c>
      <c r="H450" s="123">
        <f t="shared" si="143"/>
        <v>0</v>
      </c>
      <c r="I450" s="123">
        <f t="shared" si="144"/>
        <v>0</v>
      </c>
      <c r="J450" s="123">
        <v>0.00027</v>
      </c>
      <c r="K450" s="123">
        <f t="shared" si="145"/>
        <v>0.00054</v>
      </c>
      <c r="M450" s="124" t="s">
        <v>7</v>
      </c>
      <c r="N450" s="123">
        <f t="shared" si="146"/>
        <v>0</v>
      </c>
      <c r="Y450" s="123">
        <f t="shared" si="147"/>
        <v>0</v>
      </c>
      <c r="Z450" s="123">
        <f t="shared" si="148"/>
        <v>0</v>
      </c>
      <c r="AA450" s="123">
        <f t="shared" si="149"/>
        <v>0</v>
      </c>
      <c r="AC450" s="125">
        <v>20</v>
      </c>
      <c r="AD450" s="125">
        <f>F450*0.903397977286167</f>
        <v>0</v>
      </c>
      <c r="AE450" s="125">
        <f>F450*(1-0.903397977286167)</f>
        <v>0</v>
      </c>
    </row>
    <row r="451" spans="1:31" s="90" customFormat="1" ht="11.25">
      <c r="A451" s="122" t="s">
        <v>338</v>
      </c>
      <c r="B451" s="122" t="s">
        <v>1418</v>
      </c>
      <c r="C451" s="122" t="s">
        <v>2562</v>
      </c>
      <c r="D451" s="122" t="s">
        <v>3456</v>
      </c>
      <c r="E451" s="123">
        <v>2</v>
      </c>
      <c r="F451" s="123">
        <v>0</v>
      </c>
      <c r="G451" s="123">
        <f t="shared" si="142"/>
        <v>0</v>
      </c>
      <c r="H451" s="123">
        <f t="shared" si="143"/>
        <v>0</v>
      </c>
      <c r="I451" s="123">
        <f t="shared" si="144"/>
        <v>0</v>
      </c>
      <c r="J451" s="123">
        <v>0.00022</v>
      </c>
      <c r="K451" s="123">
        <f t="shared" si="145"/>
        <v>0.00044</v>
      </c>
      <c r="M451" s="124" t="s">
        <v>7</v>
      </c>
      <c r="N451" s="123">
        <f t="shared" si="146"/>
        <v>0</v>
      </c>
      <c r="Y451" s="123">
        <f t="shared" si="147"/>
        <v>0</v>
      </c>
      <c r="Z451" s="123">
        <f t="shared" si="148"/>
        <v>0</v>
      </c>
      <c r="AA451" s="123">
        <f t="shared" si="149"/>
        <v>0</v>
      </c>
      <c r="AC451" s="125">
        <v>20</v>
      </c>
      <c r="AD451" s="125">
        <f>F451*0.818272576872611</f>
        <v>0</v>
      </c>
      <c r="AE451" s="125">
        <f>F451*(1-0.818272576872611)</f>
        <v>0</v>
      </c>
    </row>
    <row r="452" spans="1:31" s="90" customFormat="1" ht="11.25">
      <c r="A452" s="122" t="s">
        <v>339</v>
      </c>
      <c r="B452" s="122" t="s">
        <v>1419</v>
      </c>
      <c r="C452" s="122" t="s">
        <v>2563</v>
      </c>
      <c r="D452" s="122" t="s">
        <v>3456</v>
      </c>
      <c r="E452" s="123">
        <v>4</v>
      </c>
      <c r="F452" s="123">
        <v>0</v>
      </c>
      <c r="G452" s="123">
        <f t="shared" si="142"/>
        <v>0</v>
      </c>
      <c r="H452" s="123">
        <f t="shared" si="143"/>
        <v>0</v>
      </c>
      <c r="I452" s="123">
        <f t="shared" si="144"/>
        <v>0</v>
      </c>
      <c r="J452" s="123">
        <v>0.00055</v>
      </c>
      <c r="K452" s="123">
        <f t="shared" si="145"/>
        <v>0.0022</v>
      </c>
      <c r="M452" s="124" t="s">
        <v>7</v>
      </c>
      <c r="N452" s="123">
        <f t="shared" si="146"/>
        <v>0</v>
      </c>
      <c r="Y452" s="123">
        <f t="shared" si="147"/>
        <v>0</v>
      </c>
      <c r="Z452" s="123">
        <f t="shared" si="148"/>
        <v>0</v>
      </c>
      <c r="AA452" s="123">
        <f t="shared" si="149"/>
        <v>0</v>
      </c>
      <c r="AC452" s="125">
        <v>20</v>
      </c>
      <c r="AD452" s="125">
        <f>F452*0.953735776165683</f>
        <v>0</v>
      </c>
      <c r="AE452" s="125">
        <f>F452*(1-0.953735776165683)</f>
        <v>0</v>
      </c>
    </row>
    <row r="453" spans="1:31" s="90" customFormat="1" ht="11.25">
      <c r="A453" s="122" t="s">
        <v>340</v>
      </c>
      <c r="B453" s="122" t="s">
        <v>1420</v>
      </c>
      <c r="C453" s="122" t="s">
        <v>2564</v>
      </c>
      <c r="D453" s="122" t="s">
        <v>3456</v>
      </c>
      <c r="E453" s="123">
        <v>11</v>
      </c>
      <c r="F453" s="123">
        <v>0</v>
      </c>
      <c r="G453" s="123">
        <f t="shared" si="142"/>
        <v>0</v>
      </c>
      <c r="H453" s="123">
        <f t="shared" si="143"/>
        <v>0</v>
      </c>
      <c r="I453" s="123">
        <f t="shared" si="144"/>
        <v>0</v>
      </c>
      <c r="J453" s="123">
        <v>0</v>
      </c>
      <c r="K453" s="123">
        <f t="shared" si="145"/>
        <v>0</v>
      </c>
      <c r="M453" s="124" t="s">
        <v>7</v>
      </c>
      <c r="N453" s="123">
        <f t="shared" si="146"/>
        <v>0</v>
      </c>
      <c r="Y453" s="123">
        <f t="shared" si="147"/>
        <v>0</v>
      </c>
      <c r="Z453" s="123">
        <f t="shared" si="148"/>
        <v>0</v>
      </c>
      <c r="AA453" s="123">
        <f t="shared" si="149"/>
        <v>0</v>
      </c>
      <c r="AC453" s="125">
        <v>20</v>
      </c>
      <c r="AD453" s="125">
        <f>F453*0.915995305969067</f>
        <v>0</v>
      </c>
      <c r="AE453" s="125">
        <f>F453*(1-0.915995305969067)</f>
        <v>0</v>
      </c>
    </row>
    <row r="454" spans="1:31" s="90" customFormat="1" ht="11.25">
      <c r="A454" s="122" t="s">
        <v>341</v>
      </c>
      <c r="B454" s="122" t="s">
        <v>1421</v>
      </c>
      <c r="C454" s="122" t="s">
        <v>2565</v>
      </c>
      <c r="D454" s="122" t="s">
        <v>3460</v>
      </c>
      <c r="E454" s="123">
        <v>0.68839</v>
      </c>
      <c r="F454" s="123">
        <v>0</v>
      </c>
      <c r="G454" s="123">
        <f t="shared" si="142"/>
        <v>0</v>
      </c>
      <c r="H454" s="123">
        <f t="shared" si="143"/>
        <v>0</v>
      </c>
      <c r="I454" s="123">
        <f t="shared" si="144"/>
        <v>0</v>
      </c>
      <c r="J454" s="123">
        <v>0</v>
      </c>
      <c r="K454" s="123">
        <f t="shared" si="145"/>
        <v>0</v>
      </c>
      <c r="M454" s="124" t="s">
        <v>11</v>
      </c>
      <c r="N454" s="123">
        <f t="shared" si="146"/>
        <v>0</v>
      </c>
      <c r="Y454" s="123">
        <f t="shared" si="147"/>
        <v>0</v>
      </c>
      <c r="Z454" s="123">
        <f t="shared" si="148"/>
        <v>0</v>
      </c>
      <c r="AA454" s="123">
        <f t="shared" si="149"/>
        <v>0</v>
      </c>
      <c r="AC454" s="125">
        <v>20</v>
      </c>
      <c r="AD454" s="125">
        <f>F454*0</f>
        <v>0</v>
      </c>
      <c r="AE454" s="125">
        <f>F454*(1-0)</f>
        <v>0</v>
      </c>
    </row>
    <row r="455" spans="1:36" s="90" customFormat="1" ht="11.25">
      <c r="A455" s="127"/>
      <c r="B455" s="128" t="s">
        <v>737</v>
      </c>
      <c r="C455" s="129" t="s">
        <v>2566</v>
      </c>
      <c r="D455" s="130"/>
      <c r="E455" s="130"/>
      <c r="F455" s="130"/>
      <c r="G455" s="121">
        <f>SUM(G456:G482)</f>
        <v>0</v>
      </c>
      <c r="H455" s="121">
        <f>SUM(H456:H482)</f>
        <v>0</v>
      </c>
      <c r="I455" s="121">
        <f>G455+H455</f>
        <v>0</v>
      </c>
      <c r="J455" s="114"/>
      <c r="K455" s="121">
        <f>SUM(K456:K482)</f>
        <v>2.0657799999999997</v>
      </c>
      <c r="O455" s="121">
        <f>IF(P455="PR",I455,SUM(N456:N482))</f>
        <v>0</v>
      </c>
      <c r="P455" s="114" t="s">
        <v>3490</v>
      </c>
      <c r="Q455" s="121">
        <f>IF(P455="HS",G455,0)</f>
        <v>0</v>
      </c>
      <c r="R455" s="121">
        <f>IF(P455="HS",H455-O455,0)</f>
        <v>0</v>
      </c>
      <c r="S455" s="121">
        <f>IF(P455="PS",G455,0)</f>
        <v>0</v>
      </c>
      <c r="T455" s="121">
        <f>IF(P455="PS",H455-O455,0)</f>
        <v>0</v>
      </c>
      <c r="U455" s="121">
        <f>IF(P455="MP",G455,0)</f>
        <v>0</v>
      </c>
      <c r="V455" s="121">
        <f>IF(P455="MP",H455-O455,0)</f>
        <v>0</v>
      </c>
      <c r="W455" s="121">
        <f>IF(P455="OM",G455,0)</f>
        <v>0</v>
      </c>
      <c r="X455" s="114"/>
      <c r="AH455" s="121">
        <f>SUM(Y456:Y482)</f>
        <v>0</v>
      </c>
      <c r="AI455" s="121">
        <f>SUM(Z456:Z482)</f>
        <v>0</v>
      </c>
      <c r="AJ455" s="121">
        <f>SUM(AA456:AA482)</f>
        <v>0</v>
      </c>
    </row>
    <row r="456" spans="1:31" s="90" customFormat="1" ht="11.25">
      <c r="A456" s="122" t="s">
        <v>342</v>
      </c>
      <c r="B456" s="122" t="s">
        <v>1422</v>
      </c>
      <c r="C456" s="122" t="s">
        <v>2567</v>
      </c>
      <c r="D456" s="122" t="s">
        <v>3456</v>
      </c>
      <c r="E456" s="123">
        <v>2</v>
      </c>
      <c r="F456" s="123">
        <v>0</v>
      </c>
      <c r="G456" s="123">
        <f>ROUND(E456*AD456,2)</f>
        <v>0</v>
      </c>
      <c r="H456" s="123">
        <f>I456-G456</f>
        <v>0</v>
      </c>
      <c r="I456" s="123">
        <f>ROUND(E456*F456,2)</f>
        <v>0</v>
      </c>
      <c r="J456" s="123">
        <v>0</v>
      </c>
      <c r="K456" s="123">
        <f>E456*J456</f>
        <v>0</v>
      </c>
      <c r="M456" s="124" t="s">
        <v>8</v>
      </c>
      <c r="N456" s="123">
        <f>IF(M456="5",H456,0)</f>
        <v>0</v>
      </c>
      <c r="Y456" s="123">
        <f>IF(AC456=0,I456,0)</f>
        <v>0</v>
      </c>
      <c r="Z456" s="123">
        <f>IF(AC456=14,I456,0)</f>
        <v>0</v>
      </c>
      <c r="AA456" s="123">
        <f>IF(AC456=20,I456,0)</f>
        <v>0</v>
      </c>
      <c r="AC456" s="125">
        <v>20</v>
      </c>
      <c r="AD456" s="125">
        <f>F456*0</f>
        <v>0</v>
      </c>
      <c r="AE456" s="125">
        <f>F456*(1-0)</f>
        <v>0</v>
      </c>
    </row>
    <row r="457" spans="1:31" s="90" customFormat="1" ht="11.25">
      <c r="A457" s="122" t="s">
        <v>343</v>
      </c>
      <c r="B457" s="122" t="s">
        <v>1423</v>
      </c>
      <c r="C457" s="122" t="s">
        <v>2568</v>
      </c>
      <c r="D457" s="122" t="s">
        <v>3456</v>
      </c>
      <c r="E457" s="123">
        <v>2</v>
      </c>
      <c r="F457" s="123">
        <v>0</v>
      </c>
      <c r="G457" s="123">
        <f>ROUND(E457*AD457,2)</f>
        <v>0</v>
      </c>
      <c r="H457" s="123">
        <f>I457-G457</f>
        <v>0</v>
      </c>
      <c r="I457" s="123">
        <f>ROUND(E457*F457,2)</f>
        <v>0</v>
      </c>
      <c r="J457" s="123">
        <v>0.08914</v>
      </c>
      <c r="K457" s="123">
        <f>E457*J457</f>
        <v>0.17828</v>
      </c>
      <c r="M457" s="124" t="s">
        <v>9</v>
      </c>
      <c r="N457" s="123">
        <f>IF(M457="5",H457,0)</f>
        <v>0</v>
      </c>
      <c r="Y457" s="123">
        <f>IF(AC457=0,I457,0)</f>
        <v>0</v>
      </c>
      <c r="Z457" s="123">
        <f>IF(AC457=14,I457,0)</f>
        <v>0</v>
      </c>
      <c r="AA457" s="123">
        <f>IF(AC457=20,I457,0)</f>
        <v>0</v>
      </c>
      <c r="AC457" s="125">
        <v>20</v>
      </c>
      <c r="AD457" s="125">
        <f>F457*0.920291704863692</f>
        <v>0</v>
      </c>
      <c r="AE457" s="125">
        <f>F457*(1-0.920291704863692)</f>
        <v>0</v>
      </c>
    </row>
    <row r="458" s="90" customFormat="1" ht="11.25">
      <c r="C458" s="126" t="s">
        <v>2569</v>
      </c>
    </row>
    <row r="459" spans="1:31" s="90" customFormat="1" ht="11.25">
      <c r="A459" s="131" t="s">
        <v>344</v>
      </c>
      <c r="B459" s="131" t="s">
        <v>1424</v>
      </c>
      <c r="C459" s="131" t="s">
        <v>3542</v>
      </c>
      <c r="D459" s="131" t="s">
        <v>3456</v>
      </c>
      <c r="E459" s="132">
        <v>4</v>
      </c>
      <c r="F459" s="132">
        <v>0</v>
      </c>
      <c r="G459" s="132">
        <f aca="true" t="shared" si="150" ref="G459:G479">ROUND(E459*AD459,2)</f>
        <v>0</v>
      </c>
      <c r="H459" s="132">
        <f aca="true" t="shared" si="151" ref="H459:H479">I459-G459</f>
        <v>0</v>
      </c>
      <c r="I459" s="132">
        <f aca="true" t="shared" si="152" ref="I459:I479">ROUND(E459*F459,2)</f>
        <v>0</v>
      </c>
      <c r="J459" s="132">
        <v>0.399</v>
      </c>
      <c r="K459" s="132">
        <f aca="true" t="shared" si="153" ref="K459:K479">E459*J459</f>
        <v>1.596</v>
      </c>
      <c r="M459" s="133" t="s">
        <v>1101</v>
      </c>
      <c r="N459" s="132">
        <f aca="true" t="shared" si="154" ref="N459:N479">IF(M459="5",H459,0)</f>
        <v>0</v>
      </c>
      <c r="Y459" s="132">
        <f aca="true" t="shared" si="155" ref="Y459:Y479">IF(AC459=0,I459,0)</f>
        <v>0</v>
      </c>
      <c r="Z459" s="132">
        <f aca="true" t="shared" si="156" ref="Z459:Z479">IF(AC459=14,I459,0)</f>
        <v>0</v>
      </c>
      <c r="AA459" s="132">
        <f aca="true" t="shared" si="157" ref="AA459:AA479">IF(AC459=20,I459,0)</f>
        <v>0</v>
      </c>
      <c r="AC459" s="125">
        <v>20</v>
      </c>
      <c r="AD459" s="125">
        <f>F459*1</f>
        <v>0</v>
      </c>
      <c r="AE459" s="125">
        <f>F459*(1-1)</f>
        <v>0</v>
      </c>
    </row>
    <row r="460" spans="1:31" s="90" customFormat="1" ht="11.25">
      <c r="A460" s="131"/>
      <c r="B460" s="131"/>
      <c r="C460" s="131" t="s">
        <v>3543</v>
      </c>
      <c r="D460" s="131"/>
      <c r="E460" s="132"/>
      <c r="F460" s="132"/>
      <c r="G460" s="132"/>
      <c r="H460" s="132"/>
      <c r="I460" s="132"/>
      <c r="J460" s="132"/>
      <c r="K460" s="132"/>
      <c r="M460" s="133"/>
      <c r="N460" s="132"/>
      <c r="Y460" s="132"/>
      <c r="Z460" s="132"/>
      <c r="AA460" s="132"/>
      <c r="AC460" s="125"/>
      <c r="AD460" s="125"/>
      <c r="AE460" s="125"/>
    </row>
    <row r="461" spans="1:31" s="90" customFormat="1" ht="11.25">
      <c r="A461" s="131"/>
      <c r="B461" s="131"/>
      <c r="C461" s="131" t="s">
        <v>3544</v>
      </c>
      <c r="D461" s="131"/>
      <c r="E461" s="132"/>
      <c r="F461" s="132"/>
      <c r="G461" s="132"/>
      <c r="H461" s="132"/>
      <c r="I461" s="132"/>
      <c r="J461" s="132"/>
      <c r="K461" s="132"/>
      <c r="M461" s="133"/>
      <c r="N461" s="132"/>
      <c r="Y461" s="132"/>
      <c r="Z461" s="132"/>
      <c r="AA461" s="132"/>
      <c r="AC461" s="125"/>
      <c r="AD461" s="125"/>
      <c r="AE461" s="125"/>
    </row>
    <row r="462" spans="1:31" s="90" customFormat="1" ht="11.25">
      <c r="A462" s="131" t="s">
        <v>345</v>
      </c>
      <c r="B462" s="131" t="s">
        <v>1425</v>
      </c>
      <c r="C462" s="131" t="s">
        <v>2570</v>
      </c>
      <c r="D462" s="131" t="s">
        <v>3456</v>
      </c>
      <c r="E462" s="132">
        <v>1</v>
      </c>
      <c r="F462" s="132">
        <v>0</v>
      </c>
      <c r="G462" s="132">
        <f t="shared" si="150"/>
        <v>0</v>
      </c>
      <c r="H462" s="132">
        <f t="shared" si="151"/>
        <v>0</v>
      </c>
      <c r="I462" s="132">
        <f t="shared" si="152"/>
        <v>0</v>
      </c>
      <c r="J462" s="132">
        <v>0.0003</v>
      </c>
      <c r="K462" s="132">
        <f t="shared" si="153"/>
        <v>0.0003</v>
      </c>
      <c r="M462" s="133" t="s">
        <v>1101</v>
      </c>
      <c r="N462" s="132">
        <f t="shared" si="154"/>
        <v>0</v>
      </c>
      <c r="Y462" s="132">
        <f t="shared" si="155"/>
        <v>0</v>
      </c>
      <c r="Z462" s="132">
        <f t="shared" si="156"/>
        <v>0</v>
      </c>
      <c r="AA462" s="132">
        <f t="shared" si="157"/>
        <v>0</v>
      </c>
      <c r="AC462" s="125">
        <v>20</v>
      </c>
      <c r="AD462" s="125">
        <f>F462*1</f>
        <v>0</v>
      </c>
      <c r="AE462" s="125">
        <f>F462*(1-1)</f>
        <v>0</v>
      </c>
    </row>
    <row r="463" spans="1:31" s="90" customFormat="1" ht="11.25">
      <c r="A463" s="131" t="s">
        <v>346</v>
      </c>
      <c r="B463" s="131" t="s">
        <v>1426</v>
      </c>
      <c r="C463" s="131" t="s">
        <v>2571</v>
      </c>
      <c r="D463" s="131" t="s">
        <v>3456</v>
      </c>
      <c r="E463" s="132">
        <v>1</v>
      </c>
      <c r="F463" s="132">
        <v>0</v>
      </c>
      <c r="G463" s="132">
        <f t="shared" si="150"/>
        <v>0</v>
      </c>
      <c r="H463" s="132">
        <f t="shared" si="151"/>
        <v>0</v>
      </c>
      <c r="I463" s="132">
        <f t="shared" si="152"/>
        <v>0</v>
      </c>
      <c r="J463" s="132">
        <v>0.0005</v>
      </c>
      <c r="K463" s="132">
        <f t="shared" si="153"/>
        <v>0.0005</v>
      </c>
      <c r="M463" s="133" t="s">
        <v>1101</v>
      </c>
      <c r="N463" s="132">
        <f t="shared" si="154"/>
        <v>0</v>
      </c>
      <c r="Y463" s="132">
        <f t="shared" si="155"/>
        <v>0</v>
      </c>
      <c r="Z463" s="132">
        <f t="shared" si="156"/>
        <v>0</v>
      </c>
      <c r="AA463" s="132">
        <f t="shared" si="157"/>
        <v>0</v>
      </c>
      <c r="AC463" s="125">
        <v>20</v>
      </c>
      <c r="AD463" s="125">
        <f>F463*1</f>
        <v>0</v>
      </c>
      <c r="AE463" s="125">
        <f>F463*(1-1)</f>
        <v>0</v>
      </c>
    </row>
    <row r="464" spans="1:31" s="90" customFormat="1" ht="11.25">
      <c r="A464" s="122" t="s">
        <v>347</v>
      </c>
      <c r="B464" s="122" t="s">
        <v>1427</v>
      </c>
      <c r="C464" s="122" t="s">
        <v>2572</v>
      </c>
      <c r="D464" s="122" t="s">
        <v>3463</v>
      </c>
      <c r="E464" s="123">
        <v>1</v>
      </c>
      <c r="F464" s="123">
        <v>0</v>
      </c>
      <c r="G464" s="123">
        <f t="shared" si="150"/>
        <v>0</v>
      </c>
      <c r="H464" s="123">
        <f t="shared" si="151"/>
        <v>0</v>
      </c>
      <c r="I464" s="123">
        <f t="shared" si="152"/>
        <v>0</v>
      </c>
      <c r="J464" s="123">
        <v>0.10201</v>
      </c>
      <c r="K464" s="123">
        <f t="shared" si="153"/>
        <v>0.10201</v>
      </c>
      <c r="M464" s="124" t="s">
        <v>7</v>
      </c>
      <c r="N464" s="123">
        <f t="shared" si="154"/>
        <v>0</v>
      </c>
      <c r="Y464" s="123">
        <f t="shared" si="155"/>
        <v>0</v>
      </c>
      <c r="Z464" s="123">
        <f t="shared" si="156"/>
        <v>0</v>
      </c>
      <c r="AA464" s="123">
        <f t="shared" si="157"/>
        <v>0</v>
      </c>
      <c r="AC464" s="125">
        <v>20</v>
      </c>
      <c r="AD464" s="125">
        <f>F464*0.916276119442948</f>
        <v>0</v>
      </c>
      <c r="AE464" s="125">
        <f>F464*(1-0.916276119442948)</f>
        <v>0</v>
      </c>
    </row>
    <row r="465" spans="1:31" s="90" customFormat="1" ht="11.25">
      <c r="A465" s="122" t="s">
        <v>348</v>
      </c>
      <c r="B465" s="122" t="s">
        <v>1428</v>
      </c>
      <c r="C465" s="122" t="s">
        <v>2573</v>
      </c>
      <c r="D465" s="122" t="s">
        <v>3464</v>
      </c>
      <c r="E465" s="123">
        <v>1</v>
      </c>
      <c r="F465" s="123">
        <v>0</v>
      </c>
      <c r="G465" s="123">
        <f t="shared" si="150"/>
        <v>0</v>
      </c>
      <c r="H465" s="123">
        <f t="shared" si="151"/>
        <v>0</v>
      </c>
      <c r="I465" s="123">
        <f t="shared" si="152"/>
        <v>0</v>
      </c>
      <c r="J465" s="123">
        <v>0.001</v>
      </c>
      <c r="K465" s="123">
        <f t="shared" si="153"/>
        <v>0.001</v>
      </c>
      <c r="M465" s="124" t="s">
        <v>7</v>
      </c>
      <c r="N465" s="123">
        <f t="shared" si="154"/>
        <v>0</v>
      </c>
      <c r="Y465" s="123">
        <f t="shared" si="155"/>
        <v>0</v>
      </c>
      <c r="Z465" s="123">
        <f t="shared" si="156"/>
        <v>0</v>
      </c>
      <c r="AA465" s="123">
        <f t="shared" si="157"/>
        <v>0</v>
      </c>
      <c r="AC465" s="125">
        <v>20</v>
      </c>
      <c r="AD465" s="125">
        <f>F465*0</f>
        <v>0</v>
      </c>
      <c r="AE465" s="125">
        <f>F465*(1-0)</f>
        <v>0</v>
      </c>
    </row>
    <row r="466" spans="1:31" s="90" customFormat="1" ht="11.25">
      <c r="A466" s="122" t="s">
        <v>349</v>
      </c>
      <c r="B466" s="122" t="s">
        <v>1429</v>
      </c>
      <c r="C466" s="122" t="s">
        <v>2574</v>
      </c>
      <c r="D466" s="122" t="s">
        <v>3457</v>
      </c>
      <c r="E466" s="123">
        <v>4</v>
      </c>
      <c r="F466" s="123">
        <v>0</v>
      </c>
      <c r="G466" s="123">
        <f t="shared" si="150"/>
        <v>0</v>
      </c>
      <c r="H466" s="123">
        <f t="shared" si="151"/>
        <v>0</v>
      </c>
      <c r="I466" s="123">
        <f t="shared" si="152"/>
        <v>0</v>
      </c>
      <c r="J466" s="123">
        <v>0.0005</v>
      </c>
      <c r="K466" s="123">
        <f t="shared" si="153"/>
        <v>0.002</v>
      </c>
      <c r="M466" s="124" t="s">
        <v>7</v>
      </c>
      <c r="N466" s="123">
        <f t="shared" si="154"/>
        <v>0</v>
      </c>
      <c r="Y466" s="123">
        <f t="shared" si="155"/>
        <v>0</v>
      </c>
      <c r="Z466" s="123">
        <f t="shared" si="156"/>
        <v>0</v>
      </c>
      <c r="AA466" s="123">
        <f t="shared" si="157"/>
        <v>0</v>
      </c>
      <c r="AC466" s="125">
        <v>20</v>
      </c>
      <c r="AD466" s="125">
        <f>F466*0</f>
        <v>0</v>
      </c>
      <c r="AE466" s="125">
        <f>F466*(1-0)</f>
        <v>0</v>
      </c>
    </row>
    <row r="467" spans="1:31" s="90" customFormat="1" ht="11.25">
      <c r="A467" s="122" t="s">
        <v>350</v>
      </c>
      <c r="B467" s="122" t="s">
        <v>1430</v>
      </c>
      <c r="C467" s="122" t="s">
        <v>2575</v>
      </c>
      <c r="D467" s="122" t="s">
        <v>3457</v>
      </c>
      <c r="E467" s="123">
        <v>1</v>
      </c>
      <c r="F467" s="123">
        <v>0</v>
      </c>
      <c r="G467" s="123">
        <f t="shared" si="150"/>
        <v>0</v>
      </c>
      <c r="H467" s="123">
        <f t="shared" si="151"/>
        <v>0</v>
      </c>
      <c r="I467" s="123">
        <f t="shared" si="152"/>
        <v>0</v>
      </c>
      <c r="J467" s="123">
        <v>0.06</v>
      </c>
      <c r="K467" s="123">
        <f t="shared" si="153"/>
        <v>0.06</v>
      </c>
      <c r="M467" s="124" t="s">
        <v>7</v>
      </c>
      <c r="N467" s="123">
        <f t="shared" si="154"/>
        <v>0</v>
      </c>
      <c r="Y467" s="123">
        <f t="shared" si="155"/>
        <v>0</v>
      </c>
      <c r="Z467" s="123">
        <f t="shared" si="156"/>
        <v>0</v>
      </c>
      <c r="AA467" s="123">
        <f t="shared" si="157"/>
        <v>0</v>
      </c>
      <c r="AC467" s="125">
        <v>20</v>
      </c>
      <c r="AD467" s="125">
        <f>F467*0</f>
        <v>0</v>
      </c>
      <c r="AE467" s="125">
        <f>F467*(1-0)</f>
        <v>0</v>
      </c>
    </row>
    <row r="468" spans="1:31" s="90" customFormat="1" ht="11.25">
      <c r="A468" s="122" t="s">
        <v>351</v>
      </c>
      <c r="B468" s="122" t="s">
        <v>1431</v>
      </c>
      <c r="C468" s="122" t="s">
        <v>2576</v>
      </c>
      <c r="D468" s="122" t="s">
        <v>3463</v>
      </c>
      <c r="E468" s="123">
        <v>4</v>
      </c>
      <c r="F468" s="123">
        <v>0</v>
      </c>
      <c r="G468" s="123">
        <f t="shared" si="150"/>
        <v>0</v>
      </c>
      <c r="H468" s="123">
        <f t="shared" si="151"/>
        <v>0</v>
      </c>
      <c r="I468" s="123">
        <f t="shared" si="152"/>
        <v>0</v>
      </c>
      <c r="J468" s="123">
        <v>0.0005</v>
      </c>
      <c r="K468" s="123">
        <f t="shared" si="153"/>
        <v>0.002</v>
      </c>
      <c r="M468" s="124" t="s">
        <v>7</v>
      </c>
      <c r="N468" s="123">
        <f t="shared" si="154"/>
        <v>0</v>
      </c>
      <c r="Y468" s="123">
        <f t="shared" si="155"/>
        <v>0</v>
      </c>
      <c r="Z468" s="123">
        <f t="shared" si="156"/>
        <v>0</v>
      </c>
      <c r="AA468" s="123">
        <f t="shared" si="157"/>
        <v>0</v>
      </c>
      <c r="AC468" s="125">
        <v>20</v>
      </c>
      <c r="AD468" s="125">
        <f>F468*0.0151926063406689</f>
        <v>0</v>
      </c>
      <c r="AE468" s="125">
        <f>F468*(1-0.0151926063406689)</f>
        <v>0</v>
      </c>
    </row>
    <row r="469" spans="1:31" s="90" customFormat="1" ht="11.25">
      <c r="A469" s="122" t="s">
        <v>352</v>
      </c>
      <c r="B469" s="122" t="s">
        <v>1432</v>
      </c>
      <c r="C469" s="122" t="s">
        <v>2577</v>
      </c>
      <c r="D469" s="122" t="s">
        <v>3455</v>
      </c>
      <c r="E469" s="123">
        <v>20</v>
      </c>
      <c r="F469" s="123">
        <v>0</v>
      </c>
      <c r="G469" s="123">
        <f t="shared" si="150"/>
        <v>0</v>
      </c>
      <c r="H469" s="123">
        <f t="shared" si="151"/>
        <v>0</v>
      </c>
      <c r="I469" s="123">
        <f t="shared" si="152"/>
        <v>0</v>
      </c>
      <c r="J469" s="123">
        <v>0.00037</v>
      </c>
      <c r="K469" s="123">
        <f t="shared" si="153"/>
        <v>0.0074</v>
      </c>
      <c r="M469" s="124" t="s">
        <v>7</v>
      </c>
      <c r="N469" s="123">
        <f t="shared" si="154"/>
        <v>0</v>
      </c>
      <c r="Y469" s="123">
        <f t="shared" si="155"/>
        <v>0</v>
      </c>
      <c r="Z469" s="123">
        <f t="shared" si="156"/>
        <v>0</v>
      </c>
      <c r="AA469" s="123">
        <f t="shared" si="157"/>
        <v>0</v>
      </c>
      <c r="AC469" s="125">
        <v>20</v>
      </c>
      <c r="AD469" s="125">
        <f>F469*0.842298008697642</f>
        <v>0</v>
      </c>
      <c r="AE469" s="125">
        <f>F469*(1-0.842298008697642)</f>
        <v>0</v>
      </c>
    </row>
    <row r="470" spans="1:31" s="90" customFormat="1" ht="11.25">
      <c r="A470" s="122" t="s">
        <v>353</v>
      </c>
      <c r="B470" s="122" t="s">
        <v>1371</v>
      </c>
      <c r="C470" s="122" t="s">
        <v>2578</v>
      </c>
      <c r="D470" s="122" t="s">
        <v>3463</v>
      </c>
      <c r="E470" s="123">
        <v>4</v>
      </c>
      <c r="F470" s="123">
        <v>0</v>
      </c>
      <c r="G470" s="123">
        <f t="shared" si="150"/>
        <v>0</v>
      </c>
      <c r="H470" s="123">
        <f t="shared" si="151"/>
        <v>0</v>
      </c>
      <c r="I470" s="123">
        <f t="shared" si="152"/>
        <v>0</v>
      </c>
      <c r="J470" s="123">
        <v>0.00571</v>
      </c>
      <c r="K470" s="123">
        <f t="shared" si="153"/>
        <v>0.02284</v>
      </c>
      <c r="M470" s="124" t="s">
        <v>7</v>
      </c>
      <c r="N470" s="123">
        <f t="shared" si="154"/>
        <v>0</v>
      </c>
      <c r="Y470" s="123">
        <f t="shared" si="155"/>
        <v>0</v>
      </c>
      <c r="Z470" s="123">
        <f t="shared" si="156"/>
        <v>0</v>
      </c>
      <c r="AA470" s="123">
        <f t="shared" si="157"/>
        <v>0</v>
      </c>
      <c r="AC470" s="125">
        <v>20</v>
      </c>
      <c r="AD470" s="125">
        <f>F470*0.972681043052688</f>
        <v>0</v>
      </c>
      <c r="AE470" s="125">
        <f>F470*(1-0.972681043052688)</f>
        <v>0</v>
      </c>
    </row>
    <row r="471" spans="1:31" s="90" customFormat="1" ht="11.25">
      <c r="A471" s="122" t="s">
        <v>354</v>
      </c>
      <c r="B471" s="122" t="s">
        <v>1433</v>
      </c>
      <c r="C471" s="122" t="s">
        <v>2579</v>
      </c>
      <c r="D471" s="122" t="s">
        <v>3463</v>
      </c>
      <c r="E471" s="123">
        <v>3</v>
      </c>
      <c r="F471" s="123">
        <v>0</v>
      </c>
      <c r="G471" s="123">
        <f t="shared" si="150"/>
        <v>0</v>
      </c>
      <c r="H471" s="123">
        <f t="shared" si="151"/>
        <v>0</v>
      </c>
      <c r="I471" s="123">
        <f t="shared" si="152"/>
        <v>0</v>
      </c>
      <c r="J471" s="123">
        <v>0.00071</v>
      </c>
      <c r="K471" s="123">
        <f t="shared" si="153"/>
        <v>0.00213</v>
      </c>
      <c r="M471" s="124" t="s">
        <v>7</v>
      </c>
      <c r="N471" s="123">
        <f t="shared" si="154"/>
        <v>0</v>
      </c>
      <c r="Y471" s="123">
        <f t="shared" si="155"/>
        <v>0</v>
      </c>
      <c r="Z471" s="123">
        <f t="shared" si="156"/>
        <v>0</v>
      </c>
      <c r="AA471" s="123">
        <f t="shared" si="157"/>
        <v>0</v>
      </c>
      <c r="AC471" s="125">
        <v>20</v>
      </c>
      <c r="AD471" s="125">
        <f>F471*0.971276915779702</f>
        <v>0</v>
      </c>
      <c r="AE471" s="125">
        <f>F471*(1-0.971276915779702)</f>
        <v>0</v>
      </c>
    </row>
    <row r="472" spans="1:31" s="90" customFormat="1" ht="11.25">
      <c r="A472" s="122" t="s">
        <v>355</v>
      </c>
      <c r="B472" s="122" t="s">
        <v>1434</v>
      </c>
      <c r="C472" s="122" t="s">
        <v>2580</v>
      </c>
      <c r="D472" s="122" t="s">
        <v>3463</v>
      </c>
      <c r="E472" s="123">
        <v>1</v>
      </c>
      <c r="F472" s="123">
        <v>0</v>
      </c>
      <c r="G472" s="123">
        <f t="shared" si="150"/>
        <v>0</v>
      </c>
      <c r="H472" s="123">
        <f t="shared" si="151"/>
        <v>0</v>
      </c>
      <c r="I472" s="123">
        <f t="shared" si="152"/>
        <v>0</v>
      </c>
      <c r="J472" s="123">
        <v>0.01059</v>
      </c>
      <c r="K472" s="123">
        <f t="shared" si="153"/>
        <v>0.01059</v>
      </c>
      <c r="M472" s="124" t="s">
        <v>7</v>
      </c>
      <c r="N472" s="123">
        <f t="shared" si="154"/>
        <v>0</v>
      </c>
      <c r="Y472" s="123">
        <f t="shared" si="155"/>
        <v>0</v>
      </c>
      <c r="Z472" s="123">
        <f t="shared" si="156"/>
        <v>0</v>
      </c>
      <c r="AA472" s="123">
        <f t="shared" si="157"/>
        <v>0</v>
      </c>
      <c r="AC472" s="125">
        <v>20</v>
      </c>
      <c r="AD472" s="125">
        <f>F472*0.958598881711091</f>
        <v>0</v>
      </c>
      <c r="AE472" s="125">
        <f>F472*(1-0.958598881711091)</f>
        <v>0</v>
      </c>
    </row>
    <row r="473" spans="1:31" s="90" customFormat="1" ht="11.25">
      <c r="A473" s="122" t="s">
        <v>356</v>
      </c>
      <c r="B473" s="122" t="s">
        <v>1435</v>
      </c>
      <c r="C473" s="122" t="s">
        <v>2581</v>
      </c>
      <c r="D473" s="122" t="s">
        <v>3463</v>
      </c>
      <c r="E473" s="123">
        <v>1</v>
      </c>
      <c r="F473" s="123">
        <v>0</v>
      </c>
      <c r="G473" s="123">
        <f t="shared" si="150"/>
        <v>0</v>
      </c>
      <c r="H473" s="123">
        <f t="shared" si="151"/>
        <v>0</v>
      </c>
      <c r="I473" s="123">
        <f t="shared" si="152"/>
        <v>0</v>
      </c>
      <c r="J473" s="123">
        <v>0.01535</v>
      </c>
      <c r="K473" s="123">
        <f t="shared" si="153"/>
        <v>0.01535</v>
      </c>
      <c r="M473" s="124" t="s">
        <v>7</v>
      </c>
      <c r="N473" s="123">
        <f t="shared" si="154"/>
        <v>0</v>
      </c>
      <c r="Y473" s="123">
        <f t="shared" si="155"/>
        <v>0</v>
      </c>
      <c r="Z473" s="123">
        <f t="shared" si="156"/>
        <v>0</v>
      </c>
      <c r="AA473" s="123">
        <f t="shared" si="157"/>
        <v>0</v>
      </c>
      <c r="AC473" s="125">
        <v>20</v>
      </c>
      <c r="AD473" s="125">
        <f>F473*0.977440426291282</f>
        <v>0</v>
      </c>
      <c r="AE473" s="125">
        <f>F473*(1-0.977440426291282)</f>
        <v>0</v>
      </c>
    </row>
    <row r="474" spans="1:31" s="90" customFormat="1" ht="11.25">
      <c r="A474" s="122" t="s">
        <v>357</v>
      </c>
      <c r="B474" s="122" t="s">
        <v>1436</v>
      </c>
      <c r="C474" s="122" t="s">
        <v>2582</v>
      </c>
      <c r="D474" s="122" t="s">
        <v>3463</v>
      </c>
      <c r="E474" s="123">
        <v>1</v>
      </c>
      <c r="F474" s="123">
        <v>0</v>
      </c>
      <c r="G474" s="123">
        <f t="shared" si="150"/>
        <v>0</v>
      </c>
      <c r="H474" s="123">
        <f t="shared" si="151"/>
        <v>0</v>
      </c>
      <c r="I474" s="123">
        <f t="shared" si="152"/>
        <v>0</v>
      </c>
      <c r="J474" s="123">
        <v>0.01859</v>
      </c>
      <c r="K474" s="123">
        <f t="shared" si="153"/>
        <v>0.01859</v>
      </c>
      <c r="M474" s="124" t="s">
        <v>7</v>
      </c>
      <c r="N474" s="123">
        <f t="shared" si="154"/>
        <v>0</v>
      </c>
      <c r="Y474" s="123">
        <f t="shared" si="155"/>
        <v>0</v>
      </c>
      <c r="Z474" s="123">
        <f t="shared" si="156"/>
        <v>0</v>
      </c>
      <c r="AA474" s="123">
        <f t="shared" si="157"/>
        <v>0</v>
      </c>
      <c r="AC474" s="125">
        <v>20</v>
      </c>
      <c r="AD474" s="125">
        <f>F474*0.96230866703963</f>
        <v>0</v>
      </c>
      <c r="AE474" s="125">
        <f>F474*(1-0.96230866703963)</f>
        <v>0</v>
      </c>
    </row>
    <row r="475" spans="1:31" s="90" customFormat="1" ht="11.25">
      <c r="A475" s="122" t="s">
        <v>358</v>
      </c>
      <c r="B475" s="122" t="s">
        <v>1437</v>
      </c>
      <c r="C475" s="122" t="s">
        <v>2583</v>
      </c>
      <c r="D475" s="122" t="s">
        <v>3463</v>
      </c>
      <c r="E475" s="123">
        <v>1</v>
      </c>
      <c r="F475" s="123">
        <v>0</v>
      </c>
      <c r="G475" s="123">
        <f t="shared" si="150"/>
        <v>0</v>
      </c>
      <c r="H475" s="123">
        <f t="shared" si="151"/>
        <v>0</v>
      </c>
      <c r="I475" s="123">
        <f t="shared" si="152"/>
        <v>0</v>
      </c>
      <c r="J475" s="123">
        <v>0.02559</v>
      </c>
      <c r="K475" s="123">
        <f t="shared" si="153"/>
        <v>0.02559</v>
      </c>
      <c r="M475" s="124" t="s">
        <v>7</v>
      </c>
      <c r="N475" s="123">
        <f t="shared" si="154"/>
        <v>0</v>
      </c>
      <c r="Y475" s="123">
        <f t="shared" si="155"/>
        <v>0</v>
      </c>
      <c r="Z475" s="123">
        <f t="shared" si="156"/>
        <v>0</v>
      </c>
      <c r="AA475" s="123">
        <f t="shared" si="157"/>
        <v>0</v>
      </c>
      <c r="AC475" s="125">
        <v>20</v>
      </c>
      <c r="AD475" s="125">
        <f>F475*0.983262102055347</f>
        <v>0</v>
      </c>
      <c r="AE475" s="125">
        <f>F475*(1-0.983262102055347)</f>
        <v>0</v>
      </c>
    </row>
    <row r="476" spans="1:31" s="90" customFormat="1" ht="11.25">
      <c r="A476" s="122" t="s">
        <v>359</v>
      </c>
      <c r="B476" s="122" t="s">
        <v>1438</v>
      </c>
      <c r="C476" s="122" t="s">
        <v>2584</v>
      </c>
      <c r="D476" s="122" t="s">
        <v>3456</v>
      </c>
      <c r="E476" s="123">
        <v>1</v>
      </c>
      <c r="F476" s="123">
        <v>0</v>
      </c>
      <c r="G476" s="123">
        <f t="shared" si="150"/>
        <v>0</v>
      </c>
      <c r="H476" s="123">
        <f t="shared" si="151"/>
        <v>0</v>
      </c>
      <c r="I476" s="123">
        <f t="shared" si="152"/>
        <v>0</v>
      </c>
      <c r="J476" s="123">
        <v>0.0035</v>
      </c>
      <c r="K476" s="123">
        <f t="shared" si="153"/>
        <v>0.0035</v>
      </c>
      <c r="M476" s="124" t="s">
        <v>7</v>
      </c>
      <c r="N476" s="123">
        <f t="shared" si="154"/>
        <v>0</v>
      </c>
      <c r="Y476" s="123">
        <f t="shared" si="155"/>
        <v>0</v>
      </c>
      <c r="Z476" s="123">
        <f t="shared" si="156"/>
        <v>0</v>
      </c>
      <c r="AA476" s="123">
        <f t="shared" si="157"/>
        <v>0</v>
      </c>
      <c r="AC476" s="125">
        <v>20</v>
      </c>
      <c r="AD476" s="125">
        <f>F476*0.953978719747512</f>
        <v>0</v>
      </c>
      <c r="AE476" s="125">
        <f>F476*(1-0.953978719747512)</f>
        <v>0</v>
      </c>
    </row>
    <row r="477" spans="1:31" s="90" customFormat="1" ht="11.25">
      <c r="A477" s="122" t="s">
        <v>360</v>
      </c>
      <c r="B477" s="122" t="s">
        <v>1439</v>
      </c>
      <c r="C477" s="122" t="s">
        <v>2585</v>
      </c>
      <c r="D477" s="122" t="s">
        <v>3456</v>
      </c>
      <c r="E477" s="123">
        <v>1</v>
      </c>
      <c r="F477" s="123">
        <v>0</v>
      </c>
      <c r="G477" s="123">
        <f t="shared" si="150"/>
        <v>0</v>
      </c>
      <c r="H477" s="123">
        <f t="shared" si="151"/>
        <v>0</v>
      </c>
      <c r="I477" s="123">
        <f t="shared" si="152"/>
        <v>0</v>
      </c>
      <c r="J477" s="123">
        <v>0.0045</v>
      </c>
      <c r="K477" s="123">
        <f t="shared" si="153"/>
        <v>0.0045</v>
      </c>
      <c r="M477" s="124" t="s">
        <v>7</v>
      </c>
      <c r="N477" s="123">
        <f t="shared" si="154"/>
        <v>0</v>
      </c>
      <c r="Y477" s="123">
        <f t="shared" si="155"/>
        <v>0</v>
      </c>
      <c r="Z477" s="123">
        <f t="shared" si="156"/>
        <v>0</v>
      </c>
      <c r="AA477" s="123">
        <f t="shared" si="157"/>
        <v>0</v>
      </c>
      <c r="AC477" s="125">
        <v>20</v>
      </c>
      <c r="AD477" s="125">
        <f>F477*0.965092040917172</f>
        <v>0</v>
      </c>
      <c r="AE477" s="125">
        <f>F477*(1-0.965092040917172)</f>
        <v>0</v>
      </c>
    </row>
    <row r="478" spans="1:31" s="90" customFormat="1" ht="11.25">
      <c r="A478" s="122" t="s">
        <v>361</v>
      </c>
      <c r="B478" s="122" t="s">
        <v>1440</v>
      </c>
      <c r="C478" s="122" t="s">
        <v>2586</v>
      </c>
      <c r="D478" s="122" t="s">
        <v>3456</v>
      </c>
      <c r="E478" s="123">
        <v>1</v>
      </c>
      <c r="F478" s="123">
        <v>0</v>
      </c>
      <c r="G478" s="123">
        <f t="shared" si="150"/>
        <v>0</v>
      </c>
      <c r="H478" s="123">
        <f t="shared" si="151"/>
        <v>0</v>
      </c>
      <c r="I478" s="123">
        <f t="shared" si="152"/>
        <v>0</v>
      </c>
      <c r="J478" s="123">
        <v>0.0132</v>
      </c>
      <c r="K478" s="123">
        <f t="shared" si="153"/>
        <v>0.0132</v>
      </c>
      <c r="M478" s="124" t="s">
        <v>7</v>
      </c>
      <c r="N478" s="123">
        <f t="shared" si="154"/>
        <v>0</v>
      </c>
      <c r="Y478" s="123">
        <f t="shared" si="155"/>
        <v>0</v>
      </c>
      <c r="Z478" s="123">
        <f t="shared" si="156"/>
        <v>0</v>
      </c>
      <c r="AA478" s="123">
        <f t="shared" si="157"/>
        <v>0</v>
      </c>
      <c r="AC478" s="125">
        <v>20</v>
      </c>
      <c r="AD478" s="125">
        <f>F478*0.981473714156497</f>
        <v>0</v>
      </c>
      <c r="AE478" s="125">
        <f>F478*(1-0.981473714156497)</f>
        <v>0</v>
      </c>
    </row>
    <row r="479" spans="1:31" s="90" customFormat="1" ht="11.25">
      <c r="A479" s="122" t="s">
        <v>362</v>
      </c>
      <c r="B479" s="122" t="s">
        <v>1441</v>
      </c>
      <c r="C479" s="122" t="s">
        <v>2587</v>
      </c>
      <c r="D479" s="122" t="s">
        <v>3465</v>
      </c>
      <c r="E479" s="123">
        <v>150</v>
      </c>
      <c r="F479" s="123">
        <v>0</v>
      </c>
      <c r="G479" s="123">
        <f t="shared" si="150"/>
        <v>0</v>
      </c>
      <c r="H479" s="123">
        <f t="shared" si="151"/>
        <v>0</v>
      </c>
      <c r="I479" s="123">
        <f t="shared" si="152"/>
        <v>0</v>
      </c>
      <c r="J479" s="123">
        <v>0</v>
      </c>
      <c r="K479" s="123">
        <f t="shared" si="153"/>
        <v>0</v>
      </c>
      <c r="M479" s="124" t="s">
        <v>7</v>
      </c>
      <c r="N479" s="123">
        <f t="shared" si="154"/>
        <v>0</v>
      </c>
      <c r="Y479" s="123">
        <f t="shared" si="155"/>
        <v>0</v>
      </c>
      <c r="Z479" s="123">
        <f t="shared" si="156"/>
        <v>0</v>
      </c>
      <c r="AA479" s="123">
        <f t="shared" si="157"/>
        <v>0</v>
      </c>
      <c r="AC479" s="125">
        <v>20</v>
      </c>
      <c r="AD479" s="125">
        <f>F479*0</f>
        <v>0</v>
      </c>
      <c r="AE479" s="125">
        <f>F479*(1-0)</f>
        <v>0</v>
      </c>
    </row>
    <row r="480" s="90" customFormat="1" ht="11.25">
      <c r="C480" s="126" t="s">
        <v>2588</v>
      </c>
    </row>
    <row r="481" spans="1:31" s="90" customFormat="1" ht="11.25">
      <c r="A481" s="122" t="s">
        <v>363</v>
      </c>
      <c r="B481" s="122" t="s">
        <v>1442</v>
      </c>
      <c r="C481" s="122" t="s">
        <v>2589</v>
      </c>
      <c r="D481" s="122" t="s">
        <v>3465</v>
      </c>
      <c r="E481" s="123">
        <v>50</v>
      </c>
      <c r="F481" s="123">
        <v>0</v>
      </c>
      <c r="G481" s="123">
        <f>ROUND(E481*AD481,2)</f>
        <v>0</v>
      </c>
      <c r="H481" s="123">
        <f>I481-G481</f>
        <v>0</v>
      </c>
      <c r="I481" s="123">
        <f>ROUND(E481*F481,2)</f>
        <v>0</v>
      </c>
      <c r="J481" s="123">
        <v>0</v>
      </c>
      <c r="K481" s="123">
        <f>E481*J481</f>
        <v>0</v>
      </c>
      <c r="M481" s="124" t="s">
        <v>7</v>
      </c>
      <c r="N481" s="123">
        <f>IF(M481="5",H481,0)</f>
        <v>0</v>
      </c>
      <c r="Y481" s="123">
        <f>IF(AC481=0,I481,0)</f>
        <v>0</v>
      </c>
      <c r="Z481" s="123">
        <f>IF(AC481=14,I481,0)</f>
        <v>0</v>
      </c>
      <c r="AA481" s="123">
        <f>IF(AC481=20,I481,0)</f>
        <v>0</v>
      </c>
      <c r="AC481" s="125">
        <v>20</v>
      </c>
      <c r="AD481" s="125">
        <f>F481*0</f>
        <v>0</v>
      </c>
      <c r="AE481" s="125">
        <f>F481*(1-0)</f>
        <v>0</v>
      </c>
    </row>
    <row r="482" spans="1:31" s="90" customFormat="1" ht="11.25">
      <c r="A482" s="122" t="s">
        <v>364</v>
      </c>
      <c r="B482" s="122" t="s">
        <v>1443</v>
      </c>
      <c r="C482" s="122" t="s">
        <v>2590</v>
      </c>
      <c r="D482" s="122" t="s">
        <v>3460</v>
      </c>
      <c r="E482" s="123">
        <v>2.06578</v>
      </c>
      <c r="F482" s="123">
        <v>0</v>
      </c>
      <c r="G482" s="123">
        <f>ROUND(E482*AD482,2)</f>
        <v>0</v>
      </c>
      <c r="H482" s="123">
        <f>I482-G482</f>
        <v>0</v>
      </c>
      <c r="I482" s="123">
        <f>ROUND(E482*F482,2)</f>
        <v>0</v>
      </c>
      <c r="J482" s="123">
        <v>0</v>
      </c>
      <c r="K482" s="123">
        <f>E482*J482</f>
        <v>0</v>
      </c>
      <c r="M482" s="124" t="s">
        <v>11</v>
      </c>
      <c r="N482" s="123">
        <f>IF(M482="5",H482,0)</f>
        <v>0</v>
      </c>
      <c r="Y482" s="123">
        <f>IF(AC482=0,I482,0)</f>
        <v>0</v>
      </c>
      <c r="Z482" s="123">
        <f>IF(AC482=14,I482,0)</f>
        <v>0</v>
      </c>
      <c r="AA482" s="123">
        <f>IF(AC482=20,I482,0)</f>
        <v>0</v>
      </c>
      <c r="AC482" s="125">
        <v>20</v>
      </c>
      <c r="AD482" s="125">
        <f>F482*0</f>
        <v>0</v>
      </c>
      <c r="AE482" s="125">
        <f>F482*(1-0)</f>
        <v>0</v>
      </c>
    </row>
    <row r="483" spans="1:36" s="90" customFormat="1" ht="11.25">
      <c r="A483" s="127"/>
      <c r="B483" s="128" t="s">
        <v>739</v>
      </c>
      <c r="C483" s="129" t="s">
        <v>2591</v>
      </c>
      <c r="D483" s="130"/>
      <c r="E483" s="130"/>
      <c r="F483" s="130"/>
      <c r="G483" s="121">
        <f>SUM(G484:G521)</f>
        <v>0</v>
      </c>
      <c r="H483" s="121">
        <f>SUM(H484:H521)</f>
        <v>0</v>
      </c>
      <c r="I483" s="121">
        <f>G483+H483</f>
        <v>0</v>
      </c>
      <c r="J483" s="114"/>
      <c r="K483" s="121">
        <f>SUM(K484:K521)</f>
        <v>5.71673</v>
      </c>
      <c r="O483" s="121">
        <f>IF(P483="PR",I483,SUM(N484:N521))</f>
        <v>0</v>
      </c>
      <c r="P483" s="114" t="s">
        <v>3490</v>
      </c>
      <c r="Q483" s="121">
        <f>IF(P483="HS",G483,0)</f>
        <v>0</v>
      </c>
      <c r="R483" s="121">
        <f>IF(P483="HS",H483-O483,0)</f>
        <v>0</v>
      </c>
      <c r="S483" s="121">
        <f>IF(P483="PS",G483,0)</f>
        <v>0</v>
      </c>
      <c r="T483" s="121">
        <f>IF(P483="PS",H483-O483,0)</f>
        <v>0</v>
      </c>
      <c r="U483" s="121">
        <f>IF(P483="MP",G483,0)</f>
        <v>0</v>
      </c>
      <c r="V483" s="121">
        <f>IF(P483="MP",H483-O483,0)</f>
        <v>0</v>
      </c>
      <c r="W483" s="121">
        <f>IF(P483="OM",G483,0)</f>
        <v>0</v>
      </c>
      <c r="X483" s="114"/>
      <c r="AH483" s="121">
        <f>SUM(Y484:Y521)</f>
        <v>0</v>
      </c>
      <c r="AI483" s="121">
        <f>SUM(Z484:Z521)</f>
        <v>0</v>
      </c>
      <c r="AJ483" s="121">
        <f>SUM(AA484:AA521)</f>
        <v>0</v>
      </c>
    </row>
    <row r="484" spans="1:31" s="90" customFormat="1" ht="11.25">
      <c r="A484" s="122" t="s">
        <v>365</v>
      </c>
      <c r="B484" s="122" t="s">
        <v>1444</v>
      </c>
      <c r="C484" s="122" t="s">
        <v>2592</v>
      </c>
      <c r="D484" s="122" t="s">
        <v>3456</v>
      </c>
      <c r="E484" s="123">
        <v>20</v>
      </c>
      <c r="F484" s="123">
        <v>0</v>
      </c>
      <c r="G484" s="123">
        <f aca="true" t="shared" si="158" ref="G484:G521">ROUND(E484*AD484,2)</f>
        <v>0</v>
      </c>
      <c r="H484" s="123">
        <f aca="true" t="shared" si="159" ref="H484:H521">I484-G484</f>
        <v>0</v>
      </c>
      <c r="I484" s="123">
        <f aca="true" t="shared" si="160" ref="I484:I521">ROUND(E484*F484,2)</f>
        <v>0</v>
      </c>
      <c r="J484" s="123">
        <v>0</v>
      </c>
      <c r="K484" s="123">
        <f aca="true" t="shared" si="161" ref="K484:K521">E484*J484</f>
        <v>0</v>
      </c>
      <c r="M484" s="124" t="s">
        <v>8</v>
      </c>
      <c r="N484" s="123">
        <f aca="true" t="shared" si="162" ref="N484:N521">IF(M484="5",H484,0)</f>
        <v>0</v>
      </c>
      <c r="Y484" s="123">
        <f aca="true" t="shared" si="163" ref="Y484:Y521">IF(AC484=0,I484,0)</f>
        <v>0</v>
      </c>
      <c r="Z484" s="123">
        <f aca="true" t="shared" si="164" ref="Z484:Z521">IF(AC484=14,I484,0)</f>
        <v>0</v>
      </c>
      <c r="AA484" s="123">
        <f aca="true" t="shared" si="165" ref="AA484:AA521">IF(AC484=20,I484,0)</f>
        <v>0</v>
      </c>
      <c r="AC484" s="125">
        <v>20</v>
      </c>
      <c r="AD484" s="125">
        <f>F484*0</f>
        <v>0</v>
      </c>
      <c r="AE484" s="125">
        <f>F484*(1-0)</f>
        <v>0</v>
      </c>
    </row>
    <row r="485" spans="1:31" s="90" customFormat="1" ht="11.25">
      <c r="A485" s="131" t="s">
        <v>366</v>
      </c>
      <c r="B485" s="131" t="s">
        <v>1445</v>
      </c>
      <c r="C485" s="131" t="s">
        <v>2593</v>
      </c>
      <c r="D485" s="131" t="s">
        <v>3459</v>
      </c>
      <c r="E485" s="132">
        <v>2.2</v>
      </c>
      <c r="F485" s="132">
        <v>0</v>
      </c>
      <c r="G485" s="132">
        <f t="shared" si="158"/>
        <v>0</v>
      </c>
      <c r="H485" s="132">
        <f t="shared" si="159"/>
        <v>0</v>
      </c>
      <c r="I485" s="132">
        <f t="shared" si="160"/>
        <v>0</v>
      </c>
      <c r="J485" s="132">
        <v>0.0036</v>
      </c>
      <c r="K485" s="132">
        <f t="shared" si="161"/>
        <v>0.00792</v>
      </c>
      <c r="M485" s="133" t="s">
        <v>1101</v>
      </c>
      <c r="N485" s="132">
        <f t="shared" si="162"/>
        <v>0</v>
      </c>
      <c r="Y485" s="132">
        <f t="shared" si="163"/>
        <v>0</v>
      </c>
      <c r="Z485" s="132">
        <f t="shared" si="164"/>
        <v>0</v>
      </c>
      <c r="AA485" s="132">
        <f t="shared" si="165"/>
        <v>0</v>
      </c>
      <c r="AC485" s="125">
        <v>20</v>
      </c>
      <c r="AD485" s="125">
        <f>F485*1</f>
        <v>0</v>
      </c>
      <c r="AE485" s="125">
        <f>F485*(1-1)</f>
        <v>0</v>
      </c>
    </row>
    <row r="486" spans="1:31" s="90" customFormat="1" ht="11.25">
      <c r="A486" s="122" t="s">
        <v>367</v>
      </c>
      <c r="B486" s="122" t="s">
        <v>1446</v>
      </c>
      <c r="C486" s="122" t="s">
        <v>2594</v>
      </c>
      <c r="D486" s="122" t="s">
        <v>3459</v>
      </c>
      <c r="E486" s="123">
        <v>2</v>
      </c>
      <c r="F486" s="123">
        <v>0</v>
      </c>
      <c r="G486" s="123">
        <f t="shared" si="158"/>
        <v>0</v>
      </c>
      <c r="H486" s="123">
        <f t="shared" si="159"/>
        <v>0</v>
      </c>
      <c r="I486" s="123">
        <f t="shared" si="160"/>
        <v>0</v>
      </c>
      <c r="J486" s="123">
        <v>0.0006</v>
      </c>
      <c r="K486" s="123">
        <f t="shared" si="161"/>
        <v>0.0012</v>
      </c>
      <c r="M486" s="124" t="s">
        <v>7</v>
      </c>
      <c r="N486" s="123">
        <f t="shared" si="162"/>
        <v>0</v>
      </c>
      <c r="Y486" s="123">
        <f t="shared" si="163"/>
        <v>0</v>
      </c>
      <c r="Z486" s="123">
        <f t="shared" si="164"/>
        <v>0</v>
      </c>
      <c r="AA486" s="123">
        <f t="shared" si="165"/>
        <v>0</v>
      </c>
      <c r="AC486" s="125">
        <v>20</v>
      </c>
      <c r="AD486" s="125">
        <f>F486*0.108494310664197</f>
        <v>0</v>
      </c>
      <c r="AE486" s="125">
        <f>F486*(1-0.108494310664197)</f>
        <v>0</v>
      </c>
    </row>
    <row r="487" spans="1:31" s="90" customFormat="1" ht="11.25">
      <c r="A487" s="122" t="s">
        <v>368</v>
      </c>
      <c r="B487" s="122" t="s">
        <v>1447</v>
      </c>
      <c r="C487" s="122" t="s">
        <v>2595</v>
      </c>
      <c r="D487" s="122" t="s">
        <v>3458</v>
      </c>
      <c r="E487" s="123">
        <v>1</v>
      </c>
      <c r="F487" s="123">
        <v>0</v>
      </c>
      <c r="G487" s="123">
        <f t="shared" si="158"/>
        <v>0</v>
      </c>
      <c r="H487" s="123">
        <f t="shared" si="159"/>
        <v>0</v>
      </c>
      <c r="I487" s="123">
        <f t="shared" si="160"/>
        <v>0</v>
      </c>
      <c r="J487" s="123">
        <v>0</v>
      </c>
      <c r="K487" s="123">
        <f t="shared" si="161"/>
        <v>0</v>
      </c>
      <c r="M487" s="124" t="s">
        <v>7</v>
      </c>
      <c r="N487" s="123">
        <f t="shared" si="162"/>
        <v>0</v>
      </c>
      <c r="Y487" s="123">
        <f t="shared" si="163"/>
        <v>0</v>
      </c>
      <c r="Z487" s="123">
        <f t="shared" si="164"/>
        <v>0</v>
      </c>
      <c r="AA487" s="123">
        <f t="shared" si="165"/>
        <v>0</v>
      </c>
      <c r="AC487" s="125">
        <v>20</v>
      </c>
      <c r="AD487" s="125">
        <f>F487*0</f>
        <v>0</v>
      </c>
      <c r="AE487" s="125">
        <f>F487*(1-0)</f>
        <v>0</v>
      </c>
    </row>
    <row r="488" spans="1:31" s="90" customFormat="1" ht="11.25">
      <c r="A488" s="122" t="s">
        <v>369</v>
      </c>
      <c r="B488" s="122" t="s">
        <v>1448</v>
      </c>
      <c r="C488" s="122" t="s">
        <v>2596</v>
      </c>
      <c r="D488" s="122" t="s">
        <v>3455</v>
      </c>
      <c r="E488" s="123">
        <v>48</v>
      </c>
      <c r="F488" s="123">
        <v>0</v>
      </c>
      <c r="G488" s="123">
        <f t="shared" si="158"/>
        <v>0</v>
      </c>
      <c r="H488" s="123">
        <f t="shared" si="159"/>
        <v>0</v>
      </c>
      <c r="I488" s="123">
        <f t="shared" si="160"/>
        <v>0</v>
      </c>
      <c r="J488" s="123">
        <v>3E-05</v>
      </c>
      <c r="K488" s="123">
        <f t="shared" si="161"/>
        <v>0.00144</v>
      </c>
      <c r="M488" s="124" t="s">
        <v>7</v>
      </c>
      <c r="N488" s="123">
        <f t="shared" si="162"/>
        <v>0</v>
      </c>
      <c r="Y488" s="123">
        <f t="shared" si="163"/>
        <v>0</v>
      </c>
      <c r="Z488" s="123">
        <f t="shared" si="164"/>
        <v>0</v>
      </c>
      <c r="AA488" s="123">
        <f t="shared" si="165"/>
        <v>0</v>
      </c>
      <c r="AC488" s="125">
        <v>20</v>
      </c>
      <c r="AD488" s="125">
        <f>F488*0.439109390125847</f>
        <v>0</v>
      </c>
      <c r="AE488" s="125">
        <f>F488*(1-0.439109390125847)</f>
        <v>0</v>
      </c>
    </row>
    <row r="489" spans="1:31" s="90" customFormat="1" ht="11.25">
      <c r="A489" s="122" t="s">
        <v>370</v>
      </c>
      <c r="B489" s="122" t="s">
        <v>1449</v>
      </c>
      <c r="C489" s="122" t="s">
        <v>2597</v>
      </c>
      <c r="D489" s="122" t="s">
        <v>3455</v>
      </c>
      <c r="E489" s="123">
        <v>25</v>
      </c>
      <c r="F489" s="123">
        <v>0</v>
      </c>
      <c r="G489" s="123">
        <f t="shared" si="158"/>
        <v>0</v>
      </c>
      <c r="H489" s="123">
        <f t="shared" si="159"/>
        <v>0</v>
      </c>
      <c r="I489" s="123">
        <f t="shared" si="160"/>
        <v>0</v>
      </c>
      <c r="J489" s="123">
        <v>4E-05</v>
      </c>
      <c r="K489" s="123">
        <f t="shared" si="161"/>
        <v>0.001</v>
      </c>
      <c r="M489" s="124" t="s">
        <v>7</v>
      </c>
      <c r="N489" s="123">
        <f t="shared" si="162"/>
        <v>0</v>
      </c>
      <c r="Y489" s="123">
        <f t="shared" si="163"/>
        <v>0</v>
      </c>
      <c r="Z489" s="123">
        <f t="shared" si="164"/>
        <v>0</v>
      </c>
      <c r="AA489" s="123">
        <f t="shared" si="165"/>
        <v>0</v>
      </c>
      <c r="AC489" s="125">
        <v>20</v>
      </c>
      <c r="AD489" s="125">
        <f>F489*0.446701388888889</f>
        <v>0</v>
      </c>
      <c r="AE489" s="125">
        <f>F489*(1-0.446701388888889)</f>
        <v>0</v>
      </c>
    </row>
    <row r="490" spans="1:31" s="90" customFormat="1" ht="11.25">
      <c r="A490" s="122" t="s">
        <v>371</v>
      </c>
      <c r="B490" s="122" t="s">
        <v>1450</v>
      </c>
      <c r="C490" s="122" t="s">
        <v>2598</v>
      </c>
      <c r="D490" s="122" t="s">
        <v>3455</v>
      </c>
      <c r="E490" s="123">
        <v>120</v>
      </c>
      <c r="F490" s="123">
        <v>0</v>
      </c>
      <c r="G490" s="123">
        <f t="shared" si="158"/>
        <v>0</v>
      </c>
      <c r="H490" s="123">
        <f t="shared" si="159"/>
        <v>0</v>
      </c>
      <c r="I490" s="123">
        <f t="shared" si="160"/>
        <v>0</v>
      </c>
      <c r="J490" s="123">
        <v>8E-05</v>
      </c>
      <c r="K490" s="123">
        <f t="shared" si="161"/>
        <v>0.009600000000000001</v>
      </c>
      <c r="M490" s="124" t="s">
        <v>7</v>
      </c>
      <c r="N490" s="123">
        <f t="shared" si="162"/>
        <v>0</v>
      </c>
      <c r="Y490" s="123">
        <f t="shared" si="163"/>
        <v>0</v>
      </c>
      <c r="Z490" s="123">
        <f t="shared" si="164"/>
        <v>0</v>
      </c>
      <c r="AA490" s="123">
        <f t="shared" si="165"/>
        <v>0</v>
      </c>
      <c r="AC490" s="125">
        <v>20</v>
      </c>
      <c r="AD490" s="125">
        <f>F490*0.475424486148347</f>
        <v>0</v>
      </c>
      <c r="AE490" s="125">
        <f>F490*(1-0.475424486148347)</f>
        <v>0</v>
      </c>
    </row>
    <row r="491" spans="1:31" s="90" customFormat="1" ht="11.25">
      <c r="A491" s="122" t="s">
        <v>372</v>
      </c>
      <c r="B491" s="122" t="s">
        <v>1451</v>
      </c>
      <c r="C491" s="122" t="s">
        <v>2599</v>
      </c>
      <c r="D491" s="122" t="s">
        <v>3455</v>
      </c>
      <c r="E491" s="123">
        <v>95</v>
      </c>
      <c r="F491" s="123">
        <v>0</v>
      </c>
      <c r="G491" s="123">
        <f t="shared" si="158"/>
        <v>0</v>
      </c>
      <c r="H491" s="123">
        <f t="shared" si="159"/>
        <v>0</v>
      </c>
      <c r="I491" s="123">
        <f t="shared" si="160"/>
        <v>0</v>
      </c>
      <c r="J491" s="123">
        <v>1E-05</v>
      </c>
      <c r="K491" s="123">
        <f t="shared" si="161"/>
        <v>0.0009500000000000001</v>
      </c>
      <c r="M491" s="124" t="s">
        <v>7</v>
      </c>
      <c r="N491" s="123">
        <f t="shared" si="162"/>
        <v>0</v>
      </c>
      <c r="Y491" s="123">
        <f t="shared" si="163"/>
        <v>0</v>
      </c>
      <c r="Z491" s="123">
        <f t="shared" si="164"/>
        <v>0</v>
      </c>
      <c r="AA491" s="123">
        <f t="shared" si="165"/>
        <v>0</v>
      </c>
      <c r="AC491" s="125">
        <v>20</v>
      </c>
      <c r="AD491" s="125">
        <f>F491*0.428086070215176</f>
        <v>0</v>
      </c>
      <c r="AE491" s="125">
        <f>F491*(1-0.428086070215176)</f>
        <v>0</v>
      </c>
    </row>
    <row r="492" spans="1:31" s="90" customFormat="1" ht="11.25">
      <c r="A492" s="122" t="s">
        <v>373</v>
      </c>
      <c r="B492" s="122" t="s">
        <v>1452</v>
      </c>
      <c r="C492" s="122" t="s">
        <v>2600</v>
      </c>
      <c r="D492" s="122" t="s">
        <v>3455</v>
      </c>
      <c r="E492" s="123">
        <v>50</v>
      </c>
      <c r="F492" s="123">
        <v>0</v>
      </c>
      <c r="G492" s="123">
        <f t="shared" si="158"/>
        <v>0</v>
      </c>
      <c r="H492" s="123">
        <f t="shared" si="159"/>
        <v>0</v>
      </c>
      <c r="I492" s="123">
        <f t="shared" si="160"/>
        <v>0</v>
      </c>
      <c r="J492" s="123">
        <v>2E-05</v>
      </c>
      <c r="K492" s="123">
        <f t="shared" si="161"/>
        <v>0.001</v>
      </c>
      <c r="M492" s="124" t="s">
        <v>7</v>
      </c>
      <c r="N492" s="123">
        <f t="shared" si="162"/>
        <v>0</v>
      </c>
      <c r="Y492" s="123">
        <f t="shared" si="163"/>
        <v>0</v>
      </c>
      <c r="Z492" s="123">
        <f t="shared" si="164"/>
        <v>0</v>
      </c>
      <c r="AA492" s="123">
        <f t="shared" si="165"/>
        <v>0</v>
      </c>
      <c r="AC492" s="125">
        <v>20</v>
      </c>
      <c r="AD492" s="125">
        <f>F492*0.474610083424012</f>
        <v>0</v>
      </c>
      <c r="AE492" s="125">
        <f>F492*(1-0.474610083424012)</f>
        <v>0</v>
      </c>
    </row>
    <row r="493" spans="1:31" s="90" customFormat="1" ht="11.25">
      <c r="A493" s="122" t="s">
        <v>374</v>
      </c>
      <c r="B493" s="122" t="s">
        <v>1453</v>
      </c>
      <c r="C493" s="122" t="s">
        <v>2601</v>
      </c>
      <c r="D493" s="122" t="s">
        <v>3455</v>
      </c>
      <c r="E493" s="123">
        <v>10</v>
      </c>
      <c r="F493" s="123">
        <v>0</v>
      </c>
      <c r="G493" s="123">
        <f t="shared" si="158"/>
        <v>0</v>
      </c>
      <c r="H493" s="123">
        <f t="shared" si="159"/>
        <v>0</v>
      </c>
      <c r="I493" s="123">
        <f t="shared" si="160"/>
        <v>0</v>
      </c>
      <c r="J493" s="123">
        <v>0.00012</v>
      </c>
      <c r="K493" s="123">
        <f t="shared" si="161"/>
        <v>0.0012000000000000001</v>
      </c>
      <c r="M493" s="124" t="s">
        <v>7</v>
      </c>
      <c r="N493" s="123">
        <f t="shared" si="162"/>
        <v>0</v>
      </c>
      <c r="Y493" s="123">
        <f t="shared" si="163"/>
        <v>0</v>
      </c>
      <c r="Z493" s="123">
        <f t="shared" si="164"/>
        <v>0</v>
      </c>
      <c r="AA493" s="123">
        <f t="shared" si="165"/>
        <v>0</v>
      </c>
      <c r="AC493" s="125">
        <v>20</v>
      </c>
      <c r="AD493" s="125">
        <f>F493*0.527316184839517</f>
        <v>0</v>
      </c>
      <c r="AE493" s="125">
        <f>F493*(1-0.527316184839517)</f>
        <v>0</v>
      </c>
    </row>
    <row r="494" spans="1:31" s="90" customFormat="1" ht="11.25">
      <c r="A494" s="122" t="s">
        <v>375</v>
      </c>
      <c r="B494" s="122" t="s">
        <v>1454</v>
      </c>
      <c r="C494" s="122" t="s">
        <v>2602</v>
      </c>
      <c r="D494" s="122" t="s">
        <v>3455</v>
      </c>
      <c r="E494" s="123">
        <v>230</v>
      </c>
      <c r="F494" s="123">
        <v>0</v>
      </c>
      <c r="G494" s="123">
        <f t="shared" si="158"/>
        <v>0</v>
      </c>
      <c r="H494" s="123">
        <f t="shared" si="159"/>
        <v>0</v>
      </c>
      <c r="I494" s="123">
        <f t="shared" si="160"/>
        <v>0</v>
      </c>
      <c r="J494" s="123">
        <v>1E-05</v>
      </c>
      <c r="K494" s="123">
        <f t="shared" si="161"/>
        <v>0.0023000000000000004</v>
      </c>
      <c r="M494" s="124" t="s">
        <v>7</v>
      </c>
      <c r="N494" s="123">
        <f t="shared" si="162"/>
        <v>0</v>
      </c>
      <c r="Y494" s="123">
        <f t="shared" si="163"/>
        <v>0</v>
      </c>
      <c r="Z494" s="123">
        <f t="shared" si="164"/>
        <v>0</v>
      </c>
      <c r="AA494" s="123">
        <f t="shared" si="165"/>
        <v>0</v>
      </c>
      <c r="AC494" s="125">
        <v>20</v>
      </c>
      <c r="AD494" s="125">
        <f>F494*0.474778991159646</f>
        <v>0</v>
      </c>
      <c r="AE494" s="125">
        <f>F494*(1-0.474778991159646)</f>
        <v>0</v>
      </c>
    </row>
    <row r="495" spans="1:31" s="90" customFormat="1" ht="11.25">
      <c r="A495" s="122" t="s">
        <v>376</v>
      </c>
      <c r="B495" s="122" t="s">
        <v>1455</v>
      </c>
      <c r="C495" s="122" t="s">
        <v>2603</v>
      </c>
      <c r="D495" s="122" t="s">
        <v>3455</v>
      </c>
      <c r="E495" s="123">
        <v>85</v>
      </c>
      <c r="F495" s="123">
        <v>0</v>
      </c>
      <c r="G495" s="123">
        <f t="shared" si="158"/>
        <v>0</v>
      </c>
      <c r="H495" s="123">
        <f t="shared" si="159"/>
        <v>0</v>
      </c>
      <c r="I495" s="123">
        <f t="shared" si="160"/>
        <v>0</v>
      </c>
      <c r="J495" s="123">
        <v>2E-05</v>
      </c>
      <c r="K495" s="123">
        <f t="shared" si="161"/>
        <v>0.0017000000000000001</v>
      </c>
      <c r="M495" s="124" t="s">
        <v>7</v>
      </c>
      <c r="N495" s="123">
        <f t="shared" si="162"/>
        <v>0</v>
      </c>
      <c r="Y495" s="123">
        <f t="shared" si="163"/>
        <v>0</v>
      </c>
      <c r="Z495" s="123">
        <f t="shared" si="164"/>
        <v>0</v>
      </c>
      <c r="AA495" s="123">
        <f t="shared" si="165"/>
        <v>0</v>
      </c>
      <c r="AC495" s="125">
        <v>20</v>
      </c>
      <c r="AD495" s="125">
        <f>F495*0.496928440976258</f>
        <v>0</v>
      </c>
      <c r="AE495" s="125">
        <f>F495*(1-0.496928440976258)</f>
        <v>0</v>
      </c>
    </row>
    <row r="496" spans="1:31" s="90" customFormat="1" ht="11.25">
      <c r="A496" s="122" t="s">
        <v>377</v>
      </c>
      <c r="B496" s="122" t="s">
        <v>1456</v>
      </c>
      <c r="C496" s="122" t="s">
        <v>2604</v>
      </c>
      <c r="D496" s="122" t="s">
        <v>3455</v>
      </c>
      <c r="E496" s="123">
        <v>140</v>
      </c>
      <c r="F496" s="123">
        <v>0</v>
      </c>
      <c r="G496" s="123">
        <f t="shared" si="158"/>
        <v>0</v>
      </c>
      <c r="H496" s="123">
        <f t="shared" si="159"/>
        <v>0</v>
      </c>
      <c r="I496" s="123">
        <f t="shared" si="160"/>
        <v>0</v>
      </c>
      <c r="J496" s="123">
        <v>3E-05</v>
      </c>
      <c r="K496" s="123">
        <f t="shared" si="161"/>
        <v>0.0042</v>
      </c>
      <c r="M496" s="124" t="s">
        <v>7</v>
      </c>
      <c r="N496" s="123">
        <f t="shared" si="162"/>
        <v>0</v>
      </c>
      <c r="Y496" s="123">
        <f t="shared" si="163"/>
        <v>0</v>
      </c>
      <c r="Z496" s="123">
        <f t="shared" si="164"/>
        <v>0</v>
      </c>
      <c r="AA496" s="123">
        <f t="shared" si="165"/>
        <v>0</v>
      </c>
      <c r="AC496" s="125">
        <v>20</v>
      </c>
      <c r="AD496" s="125">
        <f>F496*0.552517763361137</f>
        <v>0</v>
      </c>
      <c r="AE496" s="125">
        <f>F496*(1-0.552517763361137)</f>
        <v>0</v>
      </c>
    </row>
    <row r="497" spans="1:31" s="90" customFormat="1" ht="11.25">
      <c r="A497" s="122" t="s">
        <v>378</v>
      </c>
      <c r="B497" s="122" t="s">
        <v>1457</v>
      </c>
      <c r="C497" s="122" t="s">
        <v>2605</v>
      </c>
      <c r="D497" s="122" t="s">
        <v>3455</v>
      </c>
      <c r="E497" s="123">
        <v>42</v>
      </c>
      <c r="F497" s="123">
        <v>0</v>
      </c>
      <c r="G497" s="123">
        <f t="shared" si="158"/>
        <v>0</v>
      </c>
      <c r="H497" s="123">
        <f t="shared" si="159"/>
        <v>0</v>
      </c>
      <c r="I497" s="123">
        <f t="shared" si="160"/>
        <v>0</v>
      </c>
      <c r="J497" s="123">
        <v>3E-05</v>
      </c>
      <c r="K497" s="123">
        <f t="shared" si="161"/>
        <v>0.00126</v>
      </c>
      <c r="M497" s="124" t="s">
        <v>7</v>
      </c>
      <c r="N497" s="123">
        <f t="shared" si="162"/>
        <v>0</v>
      </c>
      <c r="Y497" s="123">
        <f t="shared" si="163"/>
        <v>0</v>
      </c>
      <c r="Z497" s="123">
        <f t="shared" si="164"/>
        <v>0</v>
      </c>
      <c r="AA497" s="123">
        <f t="shared" si="165"/>
        <v>0</v>
      </c>
      <c r="AC497" s="125">
        <v>20</v>
      </c>
      <c r="AD497" s="125">
        <f>F497*0.576461988304094</f>
        <v>0</v>
      </c>
      <c r="AE497" s="125">
        <f>F497*(1-0.576461988304094)</f>
        <v>0</v>
      </c>
    </row>
    <row r="498" spans="1:31" s="90" customFormat="1" ht="11.25">
      <c r="A498" s="122" t="s">
        <v>379</v>
      </c>
      <c r="B498" s="122" t="s">
        <v>1458</v>
      </c>
      <c r="C498" s="122" t="s">
        <v>2606</v>
      </c>
      <c r="D498" s="122" t="s">
        <v>3455</v>
      </c>
      <c r="E498" s="123">
        <v>8</v>
      </c>
      <c r="F498" s="123">
        <v>0</v>
      </c>
      <c r="G498" s="123">
        <f t="shared" si="158"/>
        <v>0</v>
      </c>
      <c r="H498" s="123">
        <f t="shared" si="159"/>
        <v>0</v>
      </c>
      <c r="I498" s="123">
        <f t="shared" si="160"/>
        <v>0</v>
      </c>
      <c r="J498" s="123">
        <v>4E-05</v>
      </c>
      <c r="K498" s="123">
        <f t="shared" si="161"/>
        <v>0.00032</v>
      </c>
      <c r="M498" s="124" t="s">
        <v>7</v>
      </c>
      <c r="N498" s="123">
        <f t="shared" si="162"/>
        <v>0</v>
      </c>
      <c r="Y498" s="123">
        <f t="shared" si="163"/>
        <v>0</v>
      </c>
      <c r="Z498" s="123">
        <f t="shared" si="164"/>
        <v>0</v>
      </c>
      <c r="AA498" s="123">
        <f t="shared" si="165"/>
        <v>0</v>
      </c>
      <c r="AC498" s="125">
        <v>20</v>
      </c>
      <c r="AD498" s="125">
        <f>F498*0.592455242966752</f>
        <v>0</v>
      </c>
      <c r="AE498" s="125">
        <f>F498*(1-0.592455242966752)</f>
        <v>0</v>
      </c>
    </row>
    <row r="499" spans="1:31" s="90" customFormat="1" ht="11.25">
      <c r="A499" s="122" t="s">
        <v>380</v>
      </c>
      <c r="B499" s="122" t="s">
        <v>1459</v>
      </c>
      <c r="C499" s="122" t="s">
        <v>2607</v>
      </c>
      <c r="D499" s="122" t="s">
        <v>3455</v>
      </c>
      <c r="E499" s="123">
        <v>1</v>
      </c>
      <c r="F499" s="123">
        <v>0</v>
      </c>
      <c r="G499" s="123">
        <f t="shared" si="158"/>
        <v>0</v>
      </c>
      <c r="H499" s="123">
        <f t="shared" si="159"/>
        <v>0</v>
      </c>
      <c r="I499" s="123">
        <f t="shared" si="160"/>
        <v>0</v>
      </c>
      <c r="J499" s="123">
        <v>0.00026</v>
      </c>
      <c r="K499" s="123">
        <f t="shared" si="161"/>
        <v>0.00026</v>
      </c>
      <c r="M499" s="124" t="s">
        <v>7</v>
      </c>
      <c r="N499" s="123">
        <f t="shared" si="162"/>
        <v>0</v>
      </c>
      <c r="Y499" s="123">
        <f t="shared" si="163"/>
        <v>0</v>
      </c>
      <c r="Z499" s="123">
        <f t="shared" si="164"/>
        <v>0</v>
      </c>
      <c r="AA499" s="123">
        <f t="shared" si="165"/>
        <v>0</v>
      </c>
      <c r="AC499" s="125">
        <v>20</v>
      </c>
      <c r="AD499" s="125">
        <f>F499*0.666776641372484</f>
        <v>0</v>
      </c>
      <c r="AE499" s="125">
        <f>F499*(1-0.666776641372484)</f>
        <v>0</v>
      </c>
    </row>
    <row r="500" spans="1:31" s="90" customFormat="1" ht="11.25">
      <c r="A500" s="122" t="s">
        <v>381</v>
      </c>
      <c r="B500" s="122" t="s">
        <v>1460</v>
      </c>
      <c r="C500" s="122" t="s">
        <v>2608</v>
      </c>
      <c r="D500" s="122" t="s">
        <v>3456</v>
      </c>
      <c r="E500" s="123">
        <v>8</v>
      </c>
      <c r="F500" s="123">
        <v>0</v>
      </c>
      <c r="G500" s="123">
        <f t="shared" si="158"/>
        <v>0</v>
      </c>
      <c r="H500" s="123">
        <f t="shared" si="159"/>
        <v>0</v>
      </c>
      <c r="I500" s="123">
        <f t="shared" si="160"/>
        <v>0</v>
      </c>
      <c r="J500" s="123">
        <v>0.00114</v>
      </c>
      <c r="K500" s="123">
        <f t="shared" si="161"/>
        <v>0.00912</v>
      </c>
      <c r="M500" s="124" t="s">
        <v>7</v>
      </c>
      <c r="N500" s="123">
        <f t="shared" si="162"/>
        <v>0</v>
      </c>
      <c r="Y500" s="123">
        <f t="shared" si="163"/>
        <v>0</v>
      </c>
      <c r="Z500" s="123">
        <f t="shared" si="164"/>
        <v>0</v>
      </c>
      <c r="AA500" s="123">
        <f t="shared" si="165"/>
        <v>0</v>
      </c>
      <c r="AC500" s="125">
        <v>20</v>
      </c>
      <c r="AD500" s="125">
        <f>F500*0.262187979905776</f>
        <v>0</v>
      </c>
      <c r="AE500" s="125">
        <f>F500*(1-0.262187979905776)</f>
        <v>0</v>
      </c>
    </row>
    <row r="501" spans="1:31" s="90" customFormat="1" ht="11.25">
      <c r="A501" s="122" t="s">
        <v>382</v>
      </c>
      <c r="B501" s="122" t="s">
        <v>1461</v>
      </c>
      <c r="C501" s="122" t="s">
        <v>2609</v>
      </c>
      <c r="D501" s="122" t="s">
        <v>3455</v>
      </c>
      <c r="E501" s="123">
        <v>6</v>
      </c>
      <c r="F501" s="123">
        <v>0</v>
      </c>
      <c r="G501" s="123">
        <f t="shared" si="158"/>
        <v>0</v>
      </c>
      <c r="H501" s="123">
        <f t="shared" si="159"/>
        <v>0</v>
      </c>
      <c r="I501" s="123">
        <f t="shared" si="160"/>
        <v>0</v>
      </c>
      <c r="J501" s="123">
        <v>0.0062</v>
      </c>
      <c r="K501" s="123">
        <f t="shared" si="161"/>
        <v>0.0372</v>
      </c>
      <c r="M501" s="124" t="s">
        <v>7</v>
      </c>
      <c r="N501" s="123">
        <f t="shared" si="162"/>
        <v>0</v>
      </c>
      <c r="Y501" s="123">
        <f t="shared" si="163"/>
        <v>0</v>
      </c>
      <c r="Z501" s="123">
        <f t="shared" si="164"/>
        <v>0</v>
      </c>
      <c r="AA501" s="123">
        <f t="shared" si="165"/>
        <v>0</v>
      </c>
      <c r="AC501" s="125">
        <v>20</v>
      </c>
      <c r="AD501" s="125">
        <f>F501*0.477082425826436</f>
        <v>0</v>
      </c>
      <c r="AE501" s="125">
        <f>F501*(1-0.477082425826436)</f>
        <v>0</v>
      </c>
    </row>
    <row r="502" spans="1:31" s="90" customFormat="1" ht="11.25">
      <c r="A502" s="122" t="s">
        <v>383</v>
      </c>
      <c r="B502" s="122" t="s">
        <v>1462</v>
      </c>
      <c r="C502" s="122" t="s">
        <v>2610</v>
      </c>
      <c r="D502" s="122" t="s">
        <v>3455</v>
      </c>
      <c r="E502" s="123">
        <v>280</v>
      </c>
      <c r="F502" s="123">
        <v>0</v>
      </c>
      <c r="G502" s="123">
        <f t="shared" si="158"/>
        <v>0</v>
      </c>
      <c r="H502" s="123">
        <f t="shared" si="159"/>
        <v>0</v>
      </c>
      <c r="I502" s="123">
        <f t="shared" si="160"/>
        <v>0</v>
      </c>
      <c r="J502" s="123">
        <v>0.00634</v>
      </c>
      <c r="K502" s="123">
        <f t="shared" si="161"/>
        <v>1.7752000000000001</v>
      </c>
      <c r="M502" s="124" t="s">
        <v>7</v>
      </c>
      <c r="N502" s="123">
        <f t="shared" si="162"/>
        <v>0</v>
      </c>
      <c r="Y502" s="123">
        <f t="shared" si="163"/>
        <v>0</v>
      </c>
      <c r="Z502" s="123">
        <f t="shared" si="164"/>
        <v>0</v>
      </c>
      <c r="AA502" s="123">
        <f t="shared" si="165"/>
        <v>0</v>
      </c>
      <c r="AC502" s="125">
        <v>20</v>
      </c>
      <c r="AD502" s="125">
        <f>F502*0.500437368789363</f>
        <v>0</v>
      </c>
      <c r="AE502" s="125">
        <f>F502*(1-0.500437368789363)</f>
        <v>0</v>
      </c>
    </row>
    <row r="503" spans="1:31" s="90" customFormat="1" ht="11.25">
      <c r="A503" s="122" t="s">
        <v>384</v>
      </c>
      <c r="B503" s="122" t="s">
        <v>1463</v>
      </c>
      <c r="C503" s="122" t="s">
        <v>2611</v>
      </c>
      <c r="D503" s="122" t="s">
        <v>3455</v>
      </c>
      <c r="E503" s="123">
        <v>130</v>
      </c>
      <c r="F503" s="123">
        <v>0</v>
      </c>
      <c r="G503" s="123">
        <f t="shared" si="158"/>
        <v>0</v>
      </c>
      <c r="H503" s="123">
        <f t="shared" si="159"/>
        <v>0</v>
      </c>
      <c r="I503" s="123">
        <f t="shared" si="160"/>
        <v>0</v>
      </c>
      <c r="J503" s="123">
        <v>0.00649</v>
      </c>
      <c r="K503" s="123">
        <f t="shared" si="161"/>
        <v>0.8437</v>
      </c>
      <c r="M503" s="124" t="s">
        <v>7</v>
      </c>
      <c r="N503" s="123">
        <f t="shared" si="162"/>
        <v>0</v>
      </c>
      <c r="Y503" s="123">
        <f t="shared" si="163"/>
        <v>0</v>
      </c>
      <c r="Z503" s="123">
        <f t="shared" si="164"/>
        <v>0</v>
      </c>
      <c r="AA503" s="123">
        <f t="shared" si="165"/>
        <v>0</v>
      </c>
      <c r="AC503" s="125">
        <v>20</v>
      </c>
      <c r="AD503" s="125">
        <f>F503*0.55954169797145</f>
        <v>0</v>
      </c>
      <c r="AE503" s="125">
        <f>F503*(1-0.55954169797145)</f>
        <v>0</v>
      </c>
    </row>
    <row r="504" spans="1:31" s="90" customFormat="1" ht="11.25">
      <c r="A504" s="122" t="s">
        <v>385</v>
      </c>
      <c r="B504" s="122" t="s">
        <v>1464</v>
      </c>
      <c r="C504" s="122" t="s">
        <v>2612</v>
      </c>
      <c r="D504" s="122" t="s">
        <v>3455</v>
      </c>
      <c r="E504" s="123">
        <v>190</v>
      </c>
      <c r="F504" s="123">
        <v>0</v>
      </c>
      <c r="G504" s="123">
        <f t="shared" si="158"/>
        <v>0</v>
      </c>
      <c r="H504" s="123">
        <f t="shared" si="159"/>
        <v>0</v>
      </c>
      <c r="I504" s="123">
        <f t="shared" si="160"/>
        <v>0</v>
      </c>
      <c r="J504" s="123">
        <v>0.00662</v>
      </c>
      <c r="K504" s="123">
        <f t="shared" si="161"/>
        <v>1.2578</v>
      </c>
      <c r="M504" s="124" t="s">
        <v>7</v>
      </c>
      <c r="N504" s="123">
        <f t="shared" si="162"/>
        <v>0</v>
      </c>
      <c r="Y504" s="123">
        <f t="shared" si="163"/>
        <v>0</v>
      </c>
      <c r="Z504" s="123">
        <f t="shared" si="164"/>
        <v>0</v>
      </c>
      <c r="AA504" s="123">
        <f t="shared" si="165"/>
        <v>0</v>
      </c>
      <c r="AC504" s="125">
        <v>20</v>
      </c>
      <c r="AD504" s="125">
        <f>F504*0.598544531980238</f>
        <v>0</v>
      </c>
      <c r="AE504" s="125">
        <f>F504*(1-0.598544531980238)</f>
        <v>0</v>
      </c>
    </row>
    <row r="505" spans="1:31" s="90" customFormat="1" ht="11.25">
      <c r="A505" s="122" t="s">
        <v>386</v>
      </c>
      <c r="B505" s="122" t="s">
        <v>1465</v>
      </c>
      <c r="C505" s="122" t="s">
        <v>2613</v>
      </c>
      <c r="D505" s="122" t="s">
        <v>3455</v>
      </c>
      <c r="E505" s="123">
        <v>90</v>
      </c>
      <c r="F505" s="123">
        <v>0</v>
      </c>
      <c r="G505" s="123">
        <f t="shared" si="158"/>
        <v>0</v>
      </c>
      <c r="H505" s="123">
        <f t="shared" si="159"/>
        <v>0</v>
      </c>
      <c r="I505" s="123">
        <f t="shared" si="160"/>
        <v>0</v>
      </c>
      <c r="J505" s="123">
        <v>0.00621</v>
      </c>
      <c r="K505" s="123">
        <f t="shared" si="161"/>
        <v>0.5589000000000001</v>
      </c>
      <c r="M505" s="124" t="s">
        <v>7</v>
      </c>
      <c r="N505" s="123">
        <f t="shared" si="162"/>
        <v>0</v>
      </c>
      <c r="Y505" s="123">
        <f t="shared" si="163"/>
        <v>0</v>
      </c>
      <c r="Z505" s="123">
        <f t="shared" si="164"/>
        <v>0</v>
      </c>
      <c r="AA505" s="123">
        <f t="shared" si="165"/>
        <v>0</v>
      </c>
      <c r="AC505" s="125">
        <v>20</v>
      </c>
      <c r="AD505" s="125">
        <f>F505*0.730845900502687</f>
        <v>0</v>
      </c>
      <c r="AE505" s="125">
        <f>F505*(1-0.730845900502687)</f>
        <v>0</v>
      </c>
    </row>
    <row r="506" spans="1:31" s="90" customFormat="1" ht="11.25">
      <c r="A506" s="122" t="s">
        <v>387</v>
      </c>
      <c r="B506" s="122" t="s">
        <v>1466</v>
      </c>
      <c r="C506" s="122" t="s">
        <v>2614</v>
      </c>
      <c r="D506" s="122" t="s">
        <v>3455</v>
      </c>
      <c r="E506" s="123">
        <v>32</v>
      </c>
      <c r="F506" s="123">
        <v>0</v>
      </c>
      <c r="G506" s="123">
        <f t="shared" si="158"/>
        <v>0</v>
      </c>
      <c r="H506" s="123">
        <f t="shared" si="159"/>
        <v>0</v>
      </c>
      <c r="I506" s="123">
        <f t="shared" si="160"/>
        <v>0</v>
      </c>
      <c r="J506" s="123">
        <v>0.00655</v>
      </c>
      <c r="K506" s="123">
        <f t="shared" si="161"/>
        <v>0.2096</v>
      </c>
      <c r="M506" s="124" t="s">
        <v>7</v>
      </c>
      <c r="N506" s="123">
        <f t="shared" si="162"/>
        <v>0</v>
      </c>
      <c r="Y506" s="123">
        <f t="shared" si="163"/>
        <v>0</v>
      </c>
      <c r="Z506" s="123">
        <f t="shared" si="164"/>
        <v>0</v>
      </c>
      <c r="AA506" s="123">
        <f t="shared" si="165"/>
        <v>0</v>
      </c>
      <c r="AC506" s="125">
        <v>20</v>
      </c>
      <c r="AD506" s="125">
        <f>F506*0.765709866882698</f>
        <v>0</v>
      </c>
      <c r="AE506" s="125">
        <f>F506*(1-0.765709866882698)</f>
        <v>0</v>
      </c>
    </row>
    <row r="507" spans="1:31" s="90" customFormat="1" ht="11.25">
      <c r="A507" s="122" t="s">
        <v>388</v>
      </c>
      <c r="B507" s="122" t="s">
        <v>1467</v>
      </c>
      <c r="C507" s="122" t="s">
        <v>2615</v>
      </c>
      <c r="D507" s="122" t="s">
        <v>3455</v>
      </c>
      <c r="E507" s="123">
        <v>124</v>
      </c>
      <c r="F507" s="123">
        <v>0</v>
      </c>
      <c r="G507" s="123">
        <f t="shared" si="158"/>
        <v>0</v>
      </c>
      <c r="H507" s="123">
        <f t="shared" si="159"/>
        <v>0</v>
      </c>
      <c r="I507" s="123">
        <f t="shared" si="160"/>
        <v>0</v>
      </c>
      <c r="J507" s="123">
        <v>0.0069</v>
      </c>
      <c r="K507" s="123">
        <f t="shared" si="161"/>
        <v>0.8556</v>
      </c>
      <c r="M507" s="124" t="s">
        <v>7</v>
      </c>
      <c r="N507" s="123">
        <f t="shared" si="162"/>
        <v>0</v>
      </c>
      <c r="Y507" s="123">
        <f t="shared" si="163"/>
        <v>0</v>
      </c>
      <c r="Z507" s="123">
        <f t="shared" si="164"/>
        <v>0</v>
      </c>
      <c r="AA507" s="123">
        <f t="shared" si="165"/>
        <v>0</v>
      </c>
      <c r="AC507" s="125">
        <v>20</v>
      </c>
      <c r="AD507" s="125">
        <f>F507*0.789728067951319</f>
        <v>0</v>
      </c>
      <c r="AE507" s="125">
        <f>F507*(1-0.789728067951319)</f>
        <v>0</v>
      </c>
    </row>
    <row r="508" spans="1:31" s="90" customFormat="1" ht="11.25">
      <c r="A508" s="122" t="s">
        <v>389</v>
      </c>
      <c r="B508" s="122" t="s">
        <v>1468</v>
      </c>
      <c r="C508" s="122" t="s">
        <v>2616</v>
      </c>
      <c r="D508" s="122" t="s">
        <v>3455</v>
      </c>
      <c r="E508" s="123">
        <v>10</v>
      </c>
      <c r="F508" s="123">
        <v>0</v>
      </c>
      <c r="G508" s="123">
        <f t="shared" si="158"/>
        <v>0</v>
      </c>
      <c r="H508" s="123">
        <f t="shared" si="159"/>
        <v>0</v>
      </c>
      <c r="I508" s="123">
        <f t="shared" si="160"/>
        <v>0</v>
      </c>
      <c r="J508" s="123">
        <v>0.00826</v>
      </c>
      <c r="K508" s="123">
        <f t="shared" si="161"/>
        <v>0.0826</v>
      </c>
      <c r="M508" s="124" t="s">
        <v>7</v>
      </c>
      <c r="N508" s="123">
        <f t="shared" si="162"/>
        <v>0</v>
      </c>
      <c r="Y508" s="123">
        <f t="shared" si="163"/>
        <v>0</v>
      </c>
      <c r="Z508" s="123">
        <f t="shared" si="164"/>
        <v>0</v>
      </c>
      <c r="AA508" s="123">
        <f t="shared" si="165"/>
        <v>0</v>
      </c>
      <c r="AC508" s="125">
        <v>20</v>
      </c>
      <c r="AD508" s="125">
        <f>F508*0.858132970938741</f>
        <v>0</v>
      </c>
      <c r="AE508" s="125">
        <f>F508*(1-0.858132970938741)</f>
        <v>0</v>
      </c>
    </row>
    <row r="509" spans="1:31" s="90" customFormat="1" ht="11.25">
      <c r="A509" s="122" t="s">
        <v>390</v>
      </c>
      <c r="B509" s="122" t="s">
        <v>1469</v>
      </c>
      <c r="C509" s="122" t="s">
        <v>2617</v>
      </c>
      <c r="D509" s="122" t="s">
        <v>3456</v>
      </c>
      <c r="E509" s="123">
        <v>6</v>
      </c>
      <c r="F509" s="123">
        <v>0</v>
      </c>
      <c r="G509" s="123">
        <f t="shared" si="158"/>
        <v>0</v>
      </c>
      <c r="H509" s="123">
        <f t="shared" si="159"/>
        <v>0</v>
      </c>
      <c r="I509" s="123">
        <f t="shared" si="160"/>
        <v>0</v>
      </c>
      <c r="J509" s="123">
        <v>4E-05</v>
      </c>
      <c r="K509" s="123">
        <f t="shared" si="161"/>
        <v>0.00024000000000000003</v>
      </c>
      <c r="M509" s="124" t="s">
        <v>7</v>
      </c>
      <c r="N509" s="123">
        <f t="shared" si="162"/>
        <v>0</v>
      </c>
      <c r="Y509" s="123">
        <f t="shared" si="163"/>
        <v>0</v>
      </c>
      <c r="Z509" s="123">
        <f t="shared" si="164"/>
        <v>0</v>
      </c>
      <c r="AA509" s="123">
        <f t="shared" si="165"/>
        <v>0</v>
      </c>
      <c r="AC509" s="125">
        <v>20</v>
      </c>
      <c r="AD509" s="125">
        <f>F509*0.1659011078087</f>
        <v>0</v>
      </c>
      <c r="AE509" s="125">
        <f>F509*(1-0.1659011078087)</f>
        <v>0</v>
      </c>
    </row>
    <row r="510" spans="1:31" s="90" customFormat="1" ht="11.25">
      <c r="A510" s="122" t="s">
        <v>391</v>
      </c>
      <c r="B510" s="122" t="s">
        <v>1470</v>
      </c>
      <c r="C510" s="122" t="s">
        <v>2618</v>
      </c>
      <c r="D510" s="122" t="s">
        <v>3456</v>
      </c>
      <c r="E510" s="123">
        <v>130</v>
      </c>
      <c r="F510" s="123">
        <v>0</v>
      </c>
      <c r="G510" s="123">
        <f t="shared" si="158"/>
        <v>0</v>
      </c>
      <c r="H510" s="123">
        <f t="shared" si="159"/>
        <v>0</v>
      </c>
      <c r="I510" s="123">
        <f t="shared" si="160"/>
        <v>0</v>
      </c>
      <c r="J510" s="123">
        <v>6E-05</v>
      </c>
      <c r="K510" s="123">
        <f t="shared" si="161"/>
        <v>0.0078000000000000005</v>
      </c>
      <c r="M510" s="124" t="s">
        <v>7</v>
      </c>
      <c r="N510" s="123">
        <f t="shared" si="162"/>
        <v>0</v>
      </c>
      <c r="Y510" s="123">
        <f t="shared" si="163"/>
        <v>0</v>
      </c>
      <c r="Z510" s="123">
        <f t="shared" si="164"/>
        <v>0</v>
      </c>
      <c r="AA510" s="123">
        <f t="shared" si="165"/>
        <v>0</v>
      </c>
      <c r="AC510" s="125">
        <v>20</v>
      </c>
      <c r="AD510" s="125">
        <f>F510*0.222054204955217</f>
        <v>0</v>
      </c>
      <c r="AE510" s="125">
        <f>F510*(1-0.222054204955217)</f>
        <v>0</v>
      </c>
    </row>
    <row r="511" spans="1:31" s="90" customFormat="1" ht="11.25">
      <c r="A511" s="122" t="s">
        <v>392</v>
      </c>
      <c r="B511" s="122" t="s">
        <v>1471</v>
      </c>
      <c r="C511" s="122" t="s">
        <v>2619</v>
      </c>
      <c r="D511" s="122" t="s">
        <v>3456</v>
      </c>
      <c r="E511" s="123">
        <v>6</v>
      </c>
      <c r="F511" s="123">
        <v>0</v>
      </c>
      <c r="G511" s="123">
        <f t="shared" si="158"/>
        <v>0</v>
      </c>
      <c r="H511" s="123">
        <f t="shared" si="159"/>
        <v>0</v>
      </c>
      <c r="I511" s="123">
        <f t="shared" si="160"/>
        <v>0</v>
      </c>
      <c r="J511" s="123">
        <v>6E-05</v>
      </c>
      <c r="K511" s="123">
        <f t="shared" si="161"/>
        <v>0.00036</v>
      </c>
      <c r="M511" s="124" t="s">
        <v>7</v>
      </c>
      <c r="N511" s="123">
        <f t="shared" si="162"/>
        <v>0</v>
      </c>
      <c r="Y511" s="123">
        <f t="shared" si="163"/>
        <v>0</v>
      </c>
      <c r="Z511" s="123">
        <f t="shared" si="164"/>
        <v>0</v>
      </c>
      <c r="AA511" s="123">
        <f t="shared" si="165"/>
        <v>0</v>
      </c>
      <c r="AC511" s="125">
        <v>20</v>
      </c>
      <c r="AD511" s="125">
        <f>F511*0.22182603997839</f>
        <v>0</v>
      </c>
      <c r="AE511" s="125">
        <f>F511*(1-0.22182603997839)</f>
        <v>0</v>
      </c>
    </row>
    <row r="512" spans="1:31" s="90" customFormat="1" ht="11.25">
      <c r="A512" s="122" t="s">
        <v>393</v>
      </c>
      <c r="B512" s="122" t="s">
        <v>1472</v>
      </c>
      <c r="C512" s="122" t="s">
        <v>2620</v>
      </c>
      <c r="D512" s="122" t="s">
        <v>3456</v>
      </c>
      <c r="E512" s="123">
        <v>6</v>
      </c>
      <c r="F512" s="123">
        <v>0</v>
      </c>
      <c r="G512" s="123">
        <f t="shared" si="158"/>
        <v>0</v>
      </c>
      <c r="H512" s="123">
        <f t="shared" si="159"/>
        <v>0</v>
      </c>
      <c r="I512" s="123">
        <f t="shared" si="160"/>
        <v>0</v>
      </c>
      <c r="J512" s="123">
        <v>7E-05</v>
      </c>
      <c r="K512" s="123">
        <f t="shared" si="161"/>
        <v>0.00041999999999999996</v>
      </c>
      <c r="M512" s="124" t="s">
        <v>7</v>
      </c>
      <c r="N512" s="123">
        <f t="shared" si="162"/>
        <v>0</v>
      </c>
      <c r="Y512" s="123">
        <f t="shared" si="163"/>
        <v>0</v>
      </c>
      <c r="Z512" s="123">
        <f t="shared" si="164"/>
        <v>0</v>
      </c>
      <c r="AA512" s="123">
        <f t="shared" si="165"/>
        <v>0</v>
      </c>
      <c r="AC512" s="125">
        <v>20</v>
      </c>
      <c r="AD512" s="125">
        <f>F512*0.225667268713626</f>
        <v>0</v>
      </c>
      <c r="AE512" s="125">
        <f>F512*(1-0.225667268713626)</f>
        <v>0</v>
      </c>
    </row>
    <row r="513" spans="1:31" s="90" customFormat="1" ht="11.25">
      <c r="A513" s="122" t="s">
        <v>394</v>
      </c>
      <c r="B513" s="122" t="s">
        <v>1473</v>
      </c>
      <c r="C513" s="122" t="s">
        <v>2621</v>
      </c>
      <c r="D513" s="122" t="s">
        <v>3456</v>
      </c>
      <c r="E513" s="123">
        <v>8</v>
      </c>
      <c r="F513" s="123">
        <v>0</v>
      </c>
      <c r="G513" s="123">
        <f t="shared" si="158"/>
        <v>0</v>
      </c>
      <c r="H513" s="123">
        <f t="shared" si="159"/>
        <v>0</v>
      </c>
      <c r="I513" s="123">
        <f t="shared" si="160"/>
        <v>0</v>
      </c>
      <c r="J513" s="123">
        <v>7E-05</v>
      </c>
      <c r="K513" s="123">
        <f t="shared" si="161"/>
        <v>0.00056</v>
      </c>
      <c r="M513" s="124" t="s">
        <v>7</v>
      </c>
      <c r="N513" s="123">
        <f t="shared" si="162"/>
        <v>0</v>
      </c>
      <c r="Y513" s="123">
        <f t="shared" si="163"/>
        <v>0</v>
      </c>
      <c r="Z513" s="123">
        <f t="shared" si="164"/>
        <v>0</v>
      </c>
      <c r="AA513" s="123">
        <f t="shared" si="165"/>
        <v>0</v>
      </c>
      <c r="AC513" s="125">
        <v>20</v>
      </c>
      <c r="AD513" s="125">
        <f>F513*0.227353797052473</f>
        <v>0</v>
      </c>
      <c r="AE513" s="125">
        <f>F513*(1-0.227353797052473)</f>
        <v>0</v>
      </c>
    </row>
    <row r="514" spans="1:31" s="90" customFormat="1" ht="11.25">
      <c r="A514" s="122" t="s">
        <v>395</v>
      </c>
      <c r="B514" s="122" t="s">
        <v>1474</v>
      </c>
      <c r="C514" s="122" t="s">
        <v>2622</v>
      </c>
      <c r="D514" s="122" t="s">
        <v>3456</v>
      </c>
      <c r="E514" s="123">
        <v>4</v>
      </c>
      <c r="F514" s="123">
        <v>0</v>
      </c>
      <c r="G514" s="123">
        <f t="shared" si="158"/>
        <v>0</v>
      </c>
      <c r="H514" s="123">
        <f t="shared" si="159"/>
        <v>0</v>
      </c>
      <c r="I514" s="123">
        <f t="shared" si="160"/>
        <v>0</v>
      </c>
      <c r="J514" s="123">
        <v>8E-05</v>
      </c>
      <c r="K514" s="123">
        <f t="shared" si="161"/>
        <v>0.00032</v>
      </c>
      <c r="M514" s="124" t="s">
        <v>7</v>
      </c>
      <c r="N514" s="123">
        <f t="shared" si="162"/>
        <v>0</v>
      </c>
      <c r="Y514" s="123">
        <f t="shared" si="163"/>
        <v>0</v>
      </c>
      <c r="Z514" s="123">
        <f t="shared" si="164"/>
        <v>0</v>
      </c>
      <c r="AA514" s="123">
        <f t="shared" si="165"/>
        <v>0</v>
      </c>
      <c r="AC514" s="125">
        <v>20</v>
      </c>
      <c r="AD514" s="125">
        <f>F514*0.245058264997842</f>
        <v>0</v>
      </c>
      <c r="AE514" s="125">
        <f>F514*(1-0.245058264997842)</f>
        <v>0</v>
      </c>
    </row>
    <row r="515" spans="1:31" s="90" customFormat="1" ht="11.25">
      <c r="A515" s="122" t="s">
        <v>396</v>
      </c>
      <c r="B515" s="122" t="s">
        <v>1475</v>
      </c>
      <c r="C515" s="122" t="s">
        <v>2623</v>
      </c>
      <c r="D515" s="122" t="s">
        <v>3456</v>
      </c>
      <c r="E515" s="123">
        <v>4</v>
      </c>
      <c r="F515" s="123">
        <v>0</v>
      </c>
      <c r="G515" s="123">
        <f t="shared" si="158"/>
        <v>0</v>
      </c>
      <c r="H515" s="123">
        <f t="shared" si="159"/>
        <v>0</v>
      </c>
      <c r="I515" s="123">
        <f t="shared" si="160"/>
        <v>0</v>
      </c>
      <c r="J515" s="123">
        <v>0.0001</v>
      </c>
      <c r="K515" s="123">
        <f t="shared" si="161"/>
        <v>0.0004</v>
      </c>
      <c r="M515" s="124" t="s">
        <v>7</v>
      </c>
      <c r="N515" s="123">
        <f t="shared" si="162"/>
        <v>0</v>
      </c>
      <c r="Y515" s="123">
        <f t="shared" si="163"/>
        <v>0</v>
      </c>
      <c r="Z515" s="123">
        <f t="shared" si="164"/>
        <v>0</v>
      </c>
      <c r="AA515" s="123">
        <f t="shared" si="165"/>
        <v>0</v>
      </c>
      <c r="AC515" s="125">
        <v>20</v>
      </c>
      <c r="AD515" s="125">
        <f>F515*0.264848999768286</f>
        <v>0</v>
      </c>
      <c r="AE515" s="125">
        <f>F515*(1-0.264848999768286)</f>
        <v>0</v>
      </c>
    </row>
    <row r="516" spans="1:31" s="90" customFormat="1" ht="11.25">
      <c r="A516" s="122" t="s">
        <v>397</v>
      </c>
      <c r="B516" s="122" t="s">
        <v>1476</v>
      </c>
      <c r="C516" s="122" t="s">
        <v>2624</v>
      </c>
      <c r="D516" s="122" t="s">
        <v>3456</v>
      </c>
      <c r="E516" s="123">
        <v>4</v>
      </c>
      <c r="F516" s="123">
        <v>0</v>
      </c>
      <c r="G516" s="123">
        <f t="shared" si="158"/>
        <v>0</v>
      </c>
      <c r="H516" s="123">
        <f t="shared" si="159"/>
        <v>0</v>
      </c>
      <c r="I516" s="123">
        <f t="shared" si="160"/>
        <v>0</v>
      </c>
      <c r="J516" s="123">
        <v>0.00012</v>
      </c>
      <c r="K516" s="123">
        <f t="shared" si="161"/>
        <v>0.00048</v>
      </c>
      <c r="M516" s="124" t="s">
        <v>7</v>
      </c>
      <c r="N516" s="123">
        <f t="shared" si="162"/>
        <v>0</v>
      </c>
      <c r="Y516" s="123">
        <f t="shared" si="163"/>
        <v>0</v>
      </c>
      <c r="Z516" s="123">
        <f t="shared" si="164"/>
        <v>0</v>
      </c>
      <c r="AA516" s="123">
        <f t="shared" si="165"/>
        <v>0</v>
      </c>
      <c r="AC516" s="125">
        <v>20</v>
      </c>
      <c r="AD516" s="125">
        <f>F516*0.288310446129671</f>
        <v>0</v>
      </c>
      <c r="AE516" s="125">
        <f>F516*(1-0.288310446129671)</f>
        <v>0</v>
      </c>
    </row>
    <row r="517" spans="1:31" s="90" customFormat="1" ht="11.25">
      <c r="A517" s="122" t="s">
        <v>398</v>
      </c>
      <c r="B517" s="122" t="s">
        <v>1477</v>
      </c>
      <c r="C517" s="122" t="s">
        <v>2625</v>
      </c>
      <c r="D517" s="122" t="s">
        <v>3464</v>
      </c>
      <c r="E517" s="123">
        <v>4</v>
      </c>
      <c r="F517" s="123">
        <v>0</v>
      </c>
      <c r="G517" s="123">
        <f t="shared" si="158"/>
        <v>0</v>
      </c>
      <c r="H517" s="123">
        <f t="shared" si="159"/>
        <v>0</v>
      </c>
      <c r="I517" s="123">
        <f t="shared" si="160"/>
        <v>0</v>
      </c>
      <c r="J517" s="123">
        <v>1E-05</v>
      </c>
      <c r="K517" s="123">
        <f t="shared" si="161"/>
        <v>4E-05</v>
      </c>
      <c r="M517" s="124" t="s">
        <v>7</v>
      </c>
      <c r="N517" s="123">
        <f t="shared" si="162"/>
        <v>0</v>
      </c>
      <c r="Y517" s="123">
        <f t="shared" si="163"/>
        <v>0</v>
      </c>
      <c r="Z517" s="123">
        <f t="shared" si="164"/>
        <v>0</v>
      </c>
      <c r="AA517" s="123">
        <f t="shared" si="165"/>
        <v>0</v>
      </c>
      <c r="AC517" s="125">
        <v>20</v>
      </c>
      <c r="AD517" s="125">
        <f>F517*0.302283105022831</f>
        <v>0</v>
      </c>
      <c r="AE517" s="125">
        <f>F517*(1-0.302283105022831)</f>
        <v>0</v>
      </c>
    </row>
    <row r="518" spans="1:31" s="90" customFormat="1" ht="11.25">
      <c r="A518" s="122" t="s">
        <v>399</v>
      </c>
      <c r="B518" s="122" t="s">
        <v>1478</v>
      </c>
      <c r="C518" s="122" t="s">
        <v>2626</v>
      </c>
      <c r="D518" s="122" t="s">
        <v>3464</v>
      </c>
      <c r="E518" s="123">
        <v>2</v>
      </c>
      <c r="F518" s="123">
        <v>0</v>
      </c>
      <c r="G518" s="123">
        <f t="shared" si="158"/>
        <v>0</v>
      </c>
      <c r="H518" s="123">
        <f t="shared" si="159"/>
        <v>0</v>
      </c>
      <c r="I518" s="123">
        <f t="shared" si="160"/>
        <v>0</v>
      </c>
      <c r="J518" s="123">
        <v>1E-05</v>
      </c>
      <c r="K518" s="123">
        <f t="shared" si="161"/>
        <v>2E-05</v>
      </c>
      <c r="M518" s="124" t="s">
        <v>7</v>
      </c>
      <c r="N518" s="123">
        <f t="shared" si="162"/>
        <v>0</v>
      </c>
      <c r="Y518" s="123">
        <f t="shared" si="163"/>
        <v>0</v>
      </c>
      <c r="Z518" s="123">
        <f t="shared" si="164"/>
        <v>0</v>
      </c>
      <c r="AA518" s="123">
        <f t="shared" si="165"/>
        <v>0</v>
      </c>
      <c r="AC518" s="125">
        <v>20</v>
      </c>
      <c r="AD518" s="125">
        <f>F518*0.302334481438959</f>
        <v>0</v>
      </c>
      <c r="AE518" s="125">
        <f>F518*(1-0.302334481438959)</f>
        <v>0</v>
      </c>
    </row>
    <row r="519" spans="1:31" s="90" customFormat="1" ht="11.25">
      <c r="A519" s="122" t="s">
        <v>400</v>
      </c>
      <c r="B519" s="122" t="s">
        <v>1479</v>
      </c>
      <c r="C519" s="122" t="s">
        <v>2627</v>
      </c>
      <c r="D519" s="122" t="s">
        <v>3455</v>
      </c>
      <c r="E519" s="123">
        <v>862</v>
      </c>
      <c r="F519" s="123">
        <v>0</v>
      </c>
      <c r="G519" s="123">
        <f t="shared" si="158"/>
        <v>0</v>
      </c>
      <c r="H519" s="123">
        <f t="shared" si="159"/>
        <v>0</v>
      </c>
      <c r="I519" s="123">
        <f t="shared" si="160"/>
        <v>0</v>
      </c>
      <c r="J519" s="123">
        <v>0</v>
      </c>
      <c r="K519" s="123">
        <f t="shared" si="161"/>
        <v>0</v>
      </c>
      <c r="M519" s="124" t="s">
        <v>7</v>
      </c>
      <c r="N519" s="123">
        <f t="shared" si="162"/>
        <v>0</v>
      </c>
      <c r="Y519" s="123">
        <f t="shared" si="163"/>
        <v>0</v>
      </c>
      <c r="Z519" s="123">
        <f t="shared" si="164"/>
        <v>0</v>
      </c>
      <c r="AA519" s="123">
        <f t="shared" si="165"/>
        <v>0</v>
      </c>
      <c r="AC519" s="125">
        <v>20</v>
      </c>
      <c r="AD519" s="125">
        <f>F519*0.0294811320754717</f>
        <v>0</v>
      </c>
      <c r="AE519" s="125">
        <f>F519*(1-0.0294811320754717)</f>
        <v>0</v>
      </c>
    </row>
    <row r="520" spans="1:31" s="90" customFormat="1" ht="11.25">
      <c r="A520" s="122" t="s">
        <v>401</v>
      </c>
      <c r="B520" s="122" t="s">
        <v>1480</v>
      </c>
      <c r="C520" s="122" t="s">
        <v>2628</v>
      </c>
      <c r="D520" s="122" t="s">
        <v>3456</v>
      </c>
      <c r="E520" s="123">
        <v>22</v>
      </c>
      <c r="F520" s="123">
        <v>0</v>
      </c>
      <c r="G520" s="123">
        <f t="shared" si="158"/>
        <v>0</v>
      </c>
      <c r="H520" s="123">
        <f t="shared" si="159"/>
        <v>0</v>
      </c>
      <c r="I520" s="123">
        <f t="shared" si="160"/>
        <v>0</v>
      </c>
      <c r="J520" s="123">
        <v>0.00191</v>
      </c>
      <c r="K520" s="123">
        <f t="shared" si="161"/>
        <v>0.04202</v>
      </c>
      <c r="M520" s="124" t="s">
        <v>7</v>
      </c>
      <c r="N520" s="123">
        <f t="shared" si="162"/>
        <v>0</v>
      </c>
      <c r="Y520" s="123">
        <f t="shared" si="163"/>
        <v>0</v>
      </c>
      <c r="Z520" s="123">
        <f t="shared" si="164"/>
        <v>0</v>
      </c>
      <c r="AA520" s="123">
        <f t="shared" si="165"/>
        <v>0</v>
      </c>
      <c r="AC520" s="125">
        <v>20</v>
      </c>
      <c r="AD520" s="125">
        <f>F520*0.437974966472955</f>
        <v>0</v>
      </c>
      <c r="AE520" s="125">
        <f>F520*(1-0.437974966472955)</f>
        <v>0</v>
      </c>
    </row>
    <row r="521" spans="1:31" s="90" customFormat="1" ht="11.25">
      <c r="A521" s="122" t="s">
        <v>402</v>
      </c>
      <c r="B521" s="122" t="s">
        <v>1481</v>
      </c>
      <c r="C521" s="122" t="s">
        <v>2629</v>
      </c>
      <c r="D521" s="122" t="s">
        <v>3460</v>
      </c>
      <c r="E521" s="123">
        <v>5.71673</v>
      </c>
      <c r="F521" s="123">
        <v>0</v>
      </c>
      <c r="G521" s="123">
        <f t="shared" si="158"/>
        <v>0</v>
      </c>
      <c r="H521" s="123">
        <f t="shared" si="159"/>
        <v>0</v>
      </c>
      <c r="I521" s="123">
        <f t="shared" si="160"/>
        <v>0</v>
      </c>
      <c r="J521" s="123">
        <v>0</v>
      </c>
      <c r="K521" s="123">
        <f t="shared" si="161"/>
        <v>0</v>
      </c>
      <c r="M521" s="124" t="s">
        <v>11</v>
      </c>
      <c r="N521" s="123">
        <f t="shared" si="162"/>
        <v>0</v>
      </c>
      <c r="Y521" s="123">
        <f t="shared" si="163"/>
        <v>0</v>
      </c>
      <c r="Z521" s="123">
        <f t="shared" si="164"/>
        <v>0</v>
      </c>
      <c r="AA521" s="123">
        <f t="shared" si="165"/>
        <v>0</v>
      </c>
      <c r="AC521" s="125">
        <v>20</v>
      </c>
      <c r="AD521" s="125">
        <f>F521*0</f>
        <v>0</v>
      </c>
      <c r="AE521" s="125">
        <f>F521*(1-0)</f>
        <v>0</v>
      </c>
    </row>
    <row r="522" spans="1:36" s="90" customFormat="1" ht="11.25">
      <c r="A522" s="127"/>
      <c r="B522" s="128" t="s">
        <v>740</v>
      </c>
      <c r="C522" s="129" t="s">
        <v>2630</v>
      </c>
      <c r="D522" s="130"/>
      <c r="E522" s="130"/>
      <c r="F522" s="130"/>
      <c r="G522" s="121">
        <f>SUM(G523:G567)</f>
        <v>0</v>
      </c>
      <c r="H522" s="121">
        <f>SUM(H523:H567)</f>
        <v>0</v>
      </c>
      <c r="I522" s="121">
        <f>G522+H522</f>
        <v>0</v>
      </c>
      <c r="J522" s="114"/>
      <c r="K522" s="121">
        <f>SUM(K523:K567)</f>
        <v>0.19782000000000002</v>
      </c>
      <c r="O522" s="121">
        <f>IF(P522="PR",I522,SUM(N523:N567))</f>
        <v>0</v>
      </c>
      <c r="P522" s="114" t="s">
        <v>3490</v>
      </c>
      <c r="Q522" s="121">
        <f>IF(P522="HS",G522,0)</f>
        <v>0</v>
      </c>
      <c r="R522" s="121">
        <f>IF(P522="HS",H522-O522,0)</f>
        <v>0</v>
      </c>
      <c r="S522" s="121">
        <f>IF(P522="PS",G522,0)</f>
        <v>0</v>
      </c>
      <c r="T522" s="121">
        <f>IF(P522="PS",H522-O522,0)</f>
        <v>0</v>
      </c>
      <c r="U522" s="121">
        <f>IF(P522="MP",G522,0)</f>
        <v>0</v>
      </c>
      <c r="V522" s="121">
        <f>IF(P522="MP",H522-O522,0)</f>
        <v>0</v>
      </c>
      <c r="W522" s="121">
        <f>IF(P522="OM",G522,0)</f>
        <v>0</v>
      </c>
      <c r="X522" s="114"/>
      <c r="AH522" s="121">
        <f>SUM(Y523:Y567)</f>
        <v>0</v>
      </c>
      <c r="AI522" s="121">
        <f>SUM(Z523:Z567)</f>
        <v>0</v>
      </c>
      <c r="AJ522" s="121">
        <f>SUM(AA523:AA567)</f>
        <v>0</v>
      </c>
    </row>
    <row r="523" spans="1:31" s="90" customFormat="1" ht="11.25">
      <c r="A523" s="131" t="s">
        <v>403</v>
      </c>
      <c r="B523" s="131" t="s">
        <v>1482</v>
      </c>
      <c r="C523" s="131" t="s">
        <v>2631</v>
      </c>
      <c r="D523" s="131" t="s">
        <v>3456</v>
      </c>
      <c r="E523" s="132">
        <v>12</v>
      </c>
      <c r="F523" s="132">
        <v>0</v>
      </c>
      <c r="G523" s="132">
        <f aca="true" t="shared" si="166" ref="G523:G553">ROUND(E523*AD523,2)</f>
        <v>0</v>
      </c>
      <c r="H523" s="132">
        <f aca="true" t="shared" si="167" ref="H523:H553">I523-G523</f>
        <v>0</v>
      </c>
      <c r="I523" s="132">
        <f aca="true" t="shared" si="168" ref="I523:I553">ROUND(E523*F523,2)</f>
        <v>0</v>
      </c>
      <c r="J523" s="132">
        <v>0</v>
      </c>
      <c r="K523" s="132">
        <f aca="true" t="shared" si="169" ref="K523:K553">E523*J523</f>
        <v>0</v>
      </c>
      <c r="M523" s="133" t="s">
        <v>1101</v>
      </c>
      <c r="N523" s="132">
        <f aca="true" t="shared" si="170" ref="N523:N553">IF(M523="5",H523,0)</f>
        <v>0</v>
      </c>
      <c r="Y523" s="132">
        <f aca="true" t="shared" si="171" ref="Y523:Y553">IF(AC523=0,I523,0)</f>
        <v>0</v>
      </c>
      <c r="Z523" s="132">
        <f aca="true" t="shared" si="172" ref="Z523:Z553">IF(AC523=14,I523,0)</f>
        <v>0</v>
      </c>
      <c r="AA523" s="132">
        <f aca="true" t="shared" si="173" ref="AA523:AA553">IF(AC523=20,I523,0)</f>
        <v>0</v>
      </c>
      <c r="AC523" s="125">
        <v>20</v>
      </c>
      <c r="AD523" s="125">
        <f aca="true" t="shared" si="174" ref="AD523:AD549">F523*1</f>
        <v>0</v>
      </c>
      <c r="AE523" s="125">
        <f aca="true" t="shared" si="175" ref="AE523:AE549">F523*(1-1)</f>
        <v>0</v>
      </c>
    </row>
    <row r="524" spans="1:31" s="90" customFormat="1" ht="11.25">
      <c r="A524" s="131" t="s">
        <v>404</v>
      </c>
      <c r="B524" s="131" t="s">
        <v>1483</v>
      </c>
      <c r="C524" s="131" t="s">
        <v>2632</v>
      </c>
      <c r="D524" s="131" t="s">
        <v>3456</v>
      </c>
      <c r="E524" s="132">
        <v>14</v>
      </c>
      <c r="F524" s="132">
        <v>0</v>
      </c>
      <c r="G524" s="132">
        <f t="shared" si="166"/>
        <v>0</v>
      </c>
      <c r="H524" s="132">
        <f t="shared" si="167"/>
        <v>0</v>
      </c>
      <c r="I524" s="132">
        <f t="shared" si="168"/>
        <v>0</v>
      </c>
      <c r="J524" s="132">
        <v>0.0004</v>
      </c>
      <c r="K524" s="132">
        <f t="shared" si="169"/>
        <v>0.0056</v>
      </c>
      <c r="M524" s="133" t="s">
        <v>1101</v>
      </c>
      <c r="N524" s="132">
        <f t="shared" si="170"/>
        <v>0</v>
      </c>
      <c r="Y524" s="132">
        <f t="shared" si="171"/>
        <v>0</v>
      </c>
      <c r="Z524" s="132">
        <f t="shared" si="172"/>
        <v>0</v>
      </c>
      <c r="AA524" s="132">
        <f t="shared" si="173"/>
        <v>0</v>
      </c>
      <c r="AC524" s="125">
        <v>20</v>
      </c>
      <c r="AD524" s="125">
        <f t="shared" si="174"/>
        <v>0</v>
      </c>
      <c r="AE524" s="125">
        <f t="shared" si="175"/>
        <v>0</v>
      </c>
    </row>
    <row r="525" spans="1:31" s="90" customFormat="1" ht="11.25">
      <c r="A525" s="131" t="s">
        <v>405</v>
      </c>
      <c r="B525" s="131" t="s">
        <v>1484</v>
      </c>
      <c r="C525" s="131" t="s">
        <v>2633</v>
      </c>
      <c r="D525" s="131" t="s">
        <v>3456</v>
      </c>
      <c r="E525" s="132">
        <v>5</v>
      </c>
      <c r="F525" s="132">
        <v>0</v>
      </c>
      <c r="G525" s="132">
        <f t="shared" si="166"/>
        <v>0</v>
      </c>
      <c r="H525" s="132">
        <f t="shared" si="167"/>
        <v>0</v>
      </c>
      <c r="I525" s="132">
        <f t="shared" si="168"/>
        <v>0</v>
      </c>
      <c r="J525" s="132">
        <v>9E-05</v>
      </c>
      <c r="K525" s="132">
        <f t="shared" si="169"/>
        <v>0.00045000000000000004</v>
      </c>
      <c r="M525" s="133" t="s">
        <v>1101</v>
      </c>
      <c r="N525" s="132">
        <f t="shared" si="170"/>
        <v>0</v>
      </c>
      <c r="Y525" s="132">
        <f t="shared" si="171"/>
        <v>0</v>
      </c>
      <c r="Z525" s="132">
        <f t="shared" si="172"/>
        <v>0</v>
      </c>
      <c r="AA525" s="132">
        <f t="shared" si="173"/>
        <v>0</v>
      </c>
      <c r="AC525" s="125">
        <v>20</v>
      </c>
      <c r="AD525" s="125">
        <f t="shared" si="174"/>
        <v>0</v>
      </c>
      <c r="AE525" s="125">
        <f t="shared" si="175"/>
        <v>0</v>
      </c>
    </row>
    <row r="526" spans="1:31" s="90" customFormat="1" ht="11.25">
      <c r="A526" s="131" t="s">
        <v>406</v>
      </c>
      <c r="B526" s="131" t="s">
        <v>1485</v>
      </c>
      <c r="C526" s="131" t="s">
        <v>2634</v>
      </c>
      <c r="D526" s="131" t="s">
        <v>3456</v>
      </c>
      <c r="E526" s="132">
        <v>1</v>
      </c>
      <c r="F526" s="132">
        <v>0</v>
      </c>
      <c r="G526" s="132">
        <f t="shared" si="166"/>
        <v>0</v>
      </c>
      <c r="H526" s="132">
        <f t="shared" si="167"/>
        <v>0</v>
      </c>
      <c r="I526" s="132">
        <f t="shared" si="168"/>
        <v>0</v>
      </c>
      <c r="J526" s="132">
        <v>0.00106</v>
      </c>
      <c r="K526" s="132">
        <f t="shared" si="169"/>
        <v>0.00106</v>
      </c>
      <c r="M526" s="133" t="s">
        <v>1101</v>
      </c>
      <c r="N526" s="132">
        <f t="shared" si="170"/>
        <v>0</v>
      </c>
      <c r="Y526" s="132">
        <f t="shared" si="171"/>
        <v>0</v>
      </c>
      <c r="Z526" s="132">
        <f t="shared" si="172"/>
        <v>0</v>
      </c>
      <c r="AA526" s="132">
        <f t="shared" si="173"/>
        <v>0</v>
      </c>
      <c r="AC526" s="125">
        <v>20</v>
      </c>
      <c r="AD526" s="125">
        <f t="shared" si="174"/>
        <v>0</v>
      </c>
      <c r="AE526" s="125">
        <f t="shared" si="175"/>
        <v>0</v>
      </c>
    </row>
    <row r="527" spans="1:31" s="90" customFormat="1" ht="11.25">
      <c r="A527" s="131" t="s">
        <v>407</v>
      </c>
      <c r="B527" s="131" t="s">
        <v>1486</v>
      </c>
      <c r="C527" s="131" t="s">
        <v>2635</v>
      </c>
      <c r="D527" s="131" t="s">
        <v>3456</v>
      </c>
      <c r="E527" s="132">
        <v>4</v>
      </c>
      <c r="F527" s="132">
        <v>0</v>
      </c>
      <c r="G527" s="132">
        <f t="shared" si="166"/>
        <v>0</v>
      </c>
      <c r="H527" s="132">
        <f t="shared" si="167"/>
        <v>0</v>
      </c>
      <c r="I527" s="132">
        <f t="shared" si="168"/>
        <v>0</v>
      </c>
      <c r="J527" s="132">
        <v>0.00138</v>
      </c>
      <c r="K527" s="132">
        <f t="shared" si="169"/>
        <v>0.00552</v>
      </c>
      <c r="M527" s="133" t="s">
        <v>1101</v>
      </c>
      <c r="N527" s="132">
        <f t="shared" si="170"/>
        <v>0</v>
      </c>
      <c r="Y527" s="132">
        <f t="shared" si="171"/>
        <v>0</v>
      </c>
      <c r="Z527" s="132">
        <f t="shared" si="172"/>
        <v>0</v>
      </c>
      <c r="AA527" s="132">
        <f t="shared" si="173"/>
        <v>0</v>
      </c>
      <c r="AC527" s="125">
        <v>20</v>
      </c>
      <c r="AD527" s="125">
        <f t="shared" si="174"/>
        <v>0</v>
      </c>
      <c r="AE527" s="125">
        <f t="shared" si="175"/>
        <v>0</v>
      </c>
    </row>
    <row r="528" spans="1:31" s="90" customFormat="1" ht="11.25">
      <c r="A528" s="131" t="s">
        <v>408</v>
      </c>
      <c r="B528" s="131" t="s">
        <v>1487</v>
      </c>
      <c r="C528" s="131" t="s">
        <v>2636</v>
      </c>
      <c r="D528" s="131" t="s">
        <v>3456</v>
      </c>
      <c r="E528" s="132">
        <v>1</v>
      </c>
      <c r="F528" s="132">
        <v>0</v>
      </c>
      <c r="G528" s="132">
        <f t="shared" si="166"/>
        <v>0</v>
      </c>
      <c r="H528" s="132">
        <f t="shared" si="167"/>
        <v>0</v>
      </c>
      <c r="I528" s="132">
        <f t="shared" si="168"/>
        <v>0</v>
      </c>
      <c r="J528" s="132">
        <v>0.0026</v>
      </c>
      <c r="K528" s="132">
        <f t="shared" si="169"/>
        <v>0.0026</v>
      </c>
      <c r="M528" s="133" t="s">
        <v>1101</v>
      </c>
      <c r="N528" s="132">
        <f t="shared" si="170"/>
        <v>0</v>
      </c>
      <c r="Y528" s="132">
        <f t="shared" si="171"/>
        <v>0</v>
      </c>
      <c r="Z528" s="132">
        <f t="shared" si="172"/>
        <v>0</v>
      </c>
      <c r="AA528" s="132">
        <f t="shared" si="173"/>
        <v>0</v>
      </c>
      <c r="AC528" s="125">
        <v>20</v>
      </c>
      <c r="AD528" s="125">
        <f t="shared" si="174"/>
        <v>0</v>
      </c>
      <c r="AE528" s="125">
        <f t="shared" si="175"/>
        <v>0</v>
      </c>
    </row>
    <row r="529" spans="1:31" s="90" customFormat="1" ht="11.25">
      <c r="A529" s="131" t="s">
        <v>409</v>
      </c>
      <c r="B529" s="131" t="s">
        <v>1488</v>
      </c>
      <c r="C529" s="131" t="s">
        <v>2637</v>
      </c>
      <c r="D529" s="131" t="s">
        <v>3456</v>
      </c>
      <c r="E529" s="132">
        <v>7</v>
      </c>
      <c r="F529" s="132">
        <v>0</v>
      </c>
      <c r="G529" s="132">
        <f t="shared" si="166"/>
        <v>0</v>
      </c>
      <c r="H529" s="132">
        <f t="shared" si="167"/>
        <v>0</v>
      </c>
      <c r="I529" s="132">
        <f t="shared" si="168"/>
        <v>0</v>
      </c>
      <c r="J529" s="132">
        <v>0.0034</v>
      </c>
      <c r="K529" s="132">
        <f t="shared" si="169"/>
        <v>0.023799999999999998</v>
      </c>
      <c r="M529" s="133" t="s">
        <v>1101</v>
      </c>
      <c r="N529" s="132">
        <f t="shared" si="170"/>
        <v>0</v>
      </c>
      <c r="Y529" s="132">
        <f t="shared" si="171"/>
        <v>0</v>
      </c>
      <c r="Z529" s="132">
        <f t="shared" si="172"/>
        <v>0</v>
      </c>
      <c r="AA529" s="132">
        <f t="shared" si="173"/>
        <v>0</v>
      </c>
      <c r="AC529" s="125">
        <v>20</v>
      </c>
      <c r="AD529" s="125">
        <f t="shared" si="174"/>
        <v>0</v>
      </c>
      <c r="AE529" s="125">
        <f t="shared" si="175"/>
        <v>0</v>
      </c>
    </row>
    <row r="530" spans="1:31" s="90" customFormat="1" ht="11.25">
      <c r="A530" s="131" t="s">
        <v>410</v>
      </c>
      <c r="B530" s="131" t="s">
        <v>1489</v>
      </c>
      <c r="C530" s="131" t="s">
        <v>2638</v>
      </c>
      <c r="D530" s="131" t="s">
        <v>3456</v>
      </c>
      <c r="E530" s="132">
        <v>3</v>
      </c>
      <c r="F530" s="132">
        <v>0</v>
      </c>
      <c r="G530" s="132">
        <f t="shared" si="166"/>
        <v>0</v>
      </c>
      <c r="H530" s="132">
        <f t="shared" si="167"/>
        <v>0</v>
      </c>
      <c r="I530" s="132">
        <f t="shared" si="168"/>
        <v>0</v>
      </c>
      <c r="J530" s="132">
        <v>0.0043</v>
      </c>
      <c r="K530" s="132">
        <f t="shared" si="169"/>
        <v>0.0129</v>
      </c>
      <c r="M530" s="133" t="s">
        <v>1101</v>
      </c>
      <c r="N530" s="132">
        <f t="shared" si="170"/>
        <v>0</v>
      </c>
      <c r="Y530" s="132">
        <f t="shared" si="171"/>
        <v>0</v>
      </c>
      <c r="Z530" s="132">
        <f t="shared" si="172"/>
        <v>0</v>
      </c>
      <c r="AA530" s="132">
        <f t="shared" si="173"/>
        <v>0</v>
      </c>
      <c r="AC530" s="125">
        <v>20</v>
      </c>
      <c r="AD530" s="125">
        <f t="shared" si="174"/>
        <v>0</v>
      </c>
      <c r="AE530" s="125">
        <f t="shared" si="175"/>
        <v>0</v>
      </c>
    </row>
    <row r="531" spans="1:31" s="90" customFormat="1" ht="11.25">
      <c r="A531" s="131" t="s">
        <v>411</v>
      </c>
      <c r="B531" s="131" t="s">
        <v>1326</v>
      </c>
      <c r="C531" s="131" t="s">
        <v>2639</v>
      </c>
      <c r="D531" s="131" t="s">
        <v>3456</v>
      </c>
      <c r="E531" s="132">
        <v>4</v>
      </c>
      <c r="F531" s="132">
        <v>0</v>
      </c>
      <c r="G531" s="132">
        <f t="shared" si="166"/>
        <v>0</v>
      </c>
      <c r="H531" s="132">
        <f t="shared" si="167"/>
        <v>0</v>
      </c>
      <c r="I531" s="132">
        <f t="shared" si="168"/>
        <v>0</v>
      </c>
      <c r="J531" s="132">
        <v>0.00031</v>
      </c>
      <c r="K531" s="132">
        <f t="shared" si="169"/>
        <v>0.00124</v>
      </c>
      <c r="M531" s="133" t="s">
        <v>1101</v>
      </c>
      <c r="N531" s="132">
        <f t="shared" si="170"/>
        <v>0</v>
      </c>
      <c r="Y531" s="132">
        <f t="shared" si="171"/>
        <v>0</v>
      </c>
      <c r="Z531" s="132">
        <f t="shared" si="172"/>
        <v>0</v>
      </c>
      <c r="AA531" s="132">
        <f t="shared" si="173"/>
        <v>0</v>
      </c>
      <c r="AC531" s="125">
        <v>20</v>
      </c>
      <c r="AD531" s="125">
        <f t="shared" si="174"/>
        <v>0</v>
      </c>
      <c r="AE531" s="125">
        <f t="shared" si="175"/>
        <v>0</v>
      </c>
    </row>
    <row r="532" spans="1:31" s="90" customFormat="1" ht="11.25">
      <c r="A532" s="131" t="s">
        <v>412</v>
      </c>
      <c r="B532" s="131" t="s">
        <v>1327</v>
      </c>
      <c r="C532" s="131" t="s">
        <v>2640</v>
      </c>
      <c r="D532" s="131" t="s">
        <v>3456</v>
      </c>
      <c r="E532" s="132">
        <v>4</v>
      </c>
      <c r="F532" s="132">
        <v>0</v>
      </c>
      <c r="G532" s="132">
        <f t="shared" si="166"/>
        <v>0</v>
      </c>
      <c r="H532" s="132">
        <f t="shared" si="167"/>
        <v>0</v>
      </c>
      <c r="I532" s="132">
        <f t="shared" si="168"/>
        <v>0</v>
      </c>
      <c r="J532" s="132">
        <v>0.00048</v>
      </c>
      <c r="K532" s="132">
        <f t="shared" si="169"/>
        <v>0.00192</v>
      </c>
      <c r="M532" s="133" t="s">
        <v>1101</v>
      </c>
      <c r="N532" s="132">
        <f t="shared" si="170"/>
        <v>0</v>
      </c>
      <c r="Y532" s="132">
        <f t="shared" si="171"/>
        <v>0</v>
      </c>
      <c r="Z532" s="132">
        <f t="shared" si="172"/>
        <v>0</v>
      </c>
      <c r="AA532" s="132">
        <f t="shared" si="173"/>
        <v>0</v>
      </c>
      <c r="AC532" s="125">
        <v>20</v>
      </c>
      <c r="AD532" s="125">
        <f t="shared" si="174"/>
        <v>0</v>
      </c>
      <c r="AE532" s="125">
        <f t="shared" si="175"/>
        <v>0</v>
      </c>
    </row>
    <row r="533" spans="1:31" s="90" customFormat="1" ht="11.25">
      <c r="A533" s="131" t="s">
        <v>413</v>
      </c>
      <c r="B533" s="131" t="s">
        <v>1328</v>
      </c>
      <c r="C533" s="131" t="s">
        <v>2641</v>
      </c>
      <c r="D533" s="131" t="s">
        <v>3456</v>
      </c>
      <c r="E533" s="132">
        <v>15</v>
      </c>
      <c r="F533" s="132">
        <v>0</v>
      </c>
      <c r="G533" s="132">
        <f t="shared" si="166"/>
        <v>0</v>
      </c>
      <c r="H533" s="132">
        <f t="shared" si="167"/>
        <v>0</v>
      </c>
      <c r="I533" s="132">
        <f t="shared" si="168"/>
        <v>0</v>
      </c>
      <c r="J533" s="132">
        <v>0.00068</v>
      </c>
      <c r="K533" s="132">
        <f t="shared" si="169"/>
        <v>0.0102</v>
      </c>
      <c r="M533" s="133" t="s">
        <v>1101</v>
      </c>
      <c r="N533" s="132">
        <f t="shared" si="170"/>
        <v>0</v>
      </c>
      <c r="Y533" s="132">
        <f t="shared" si="171"/>
        <v>0</v>
      </c>
      <c r="Z533" s="132">
        <f t="shared" si="172"/>
        <v>0</v>
      </c>
      <c r="AA533" s="132">
        <f t="shared" si="173"/>
        <v>0</v>
      </c>
      <c r="AC533" s="125">
        <v>20</v>
      </c>
      <c r="AD533" s="125">
        <f t="shared" si="174"/>
        <v>0</v>
      </c>
      <c r="AE533" s="125">
        <f t="shared" si="175"/>
        <v>0</v>
      </c>
    </row>
    <row r="534" spans="1:31" s="90" customFormat="1" ht="11.25">
      <c r="A534" s="131" t="s">
        <v>414</v>
      </c>
      <c r="B534" s="131" t="s">
        <v>1329</v>
      </c>
      <c r="C534" s="131" t="s">
        <v>2642</v>
      </c>
      <c r="D534" s="131" t="s">
        <v>3456</v>
      </c>
      <c r="E534" s="132">
        <v>4</v>
      </c>
      <c r="F534" s="132">
        <v>0</v>
      </c>
      <c r="G534" s="132">
        <f t="shared" si="166"/>
        <v>0</v>
      </c>
      <c r="H534" s="132">
        <f t="shared" si="167"/>
        <v>0</v>
      </c>
      <c r="I534" s="132">
        <f t="shared" si="168"/>
        <v>0</v>
      </c>
      <c r="J534" s="132">
        <v>0.00104</v>
      </c>
      <c r="K534" s="132">
        <f t="shared" si="169"/>
        <v>0.00416</v>
      </c>
      <c r="M534" s="133" t="s">
        <v>1101</v>
      </c>
      <c r="N534" s="132">
        <f t="shared" si="170"/>
        <v>0</v>
      </c>
      <c r="Y534" s="132">
        <f t="shared" si="171"/>
        <v>0</v>
      </c>
      <c r="Z534" s="132">
        <f t="shared" si="172"/>
        <v>0</v>
      </c>
      <c r="AA534" s="132">
        <f t="shared" si="173"/>
        <v>0</v>
      </c>
      <c r="AC534" s="125">
        <v>20</v>
      </c>
      <c r="AD534" s="125">
        <f t="shared" si="174"/>
        <v>0</v>
      </c>
      <c r="AE534" s="125">
        <f t="shared" si="175"/>
        <v>0</v>
      </c>
    </row>
    <row r="535" spans="1:31" s="90" customFormat="1" ht="11.25">
      <c r="A535" s="131" t="s">
        <v>415</v>
      </c>
      <c r="B535" s="131" t="s">
        <v>1490</v>
      </c>
      <c r="C535" s="131" t="s">
        <v>2643</v>
      </c>
      <c r="D535" s="131" t="s">
        <v>3456</v>
      </c>
      <c r="E535" s="132">
        <v>3</v>
      </c>
      <c r="F535" s="132">
        <v>0</v>
      </c>
      <c r="G535" s="132">
        <f t="shared" si="166"/>
        <v>0</v>
      </c>
      <c r="H535" s="132">
        <f t="shared" si="167"/>
        <v>0</v>
      </c>
      <c r="I535" s="132">
        <f t="shared" si="168"/>
        <v>0</v>
      </c>
      <c r="J535" s="132">
        <v>0.00163</v>
      </c>
      <c r="K535" s="132">
        <f t="shared" si="169"/>
        <v>0.00489</v>
      </c>
      <c r="M535" s="133" t="s">
        <v>1101</v>
      </c>
      <c r="N535" s="132">
        <f t="shared" si="170"/>
        <v>0</v>
      </c>
      <c r="Y535" s="132">
        <f t="shared" si="171"/>
        <v>0</v>
      </c>
      <c r="Z535" s="132">
        <f t="shared" si="172"/>
        <v>0</v>
      </c>
      <c r="AA535" s="132">
        <f t="shared" si="173"/>
        <v>0</v>
      </c>
      <c r="AC535" s="125">
        <v>20</v>
      </c>
      <c r="AD535" s="125">
        <f t="shared" si="174"/>
        <v>0</v>
      </c>
      <c r="AE535" s="125">
        <f t="shared" si="175"/>
        <v>0</v>
      </c>
    </row>
    <row r="536" spans="1:31" s="90" customFormat="1" ht="11.25">
      <c r="A536" s="131" t="s">
        <v>416</v>
      </c>
      <c r="B536" s="131" t="s">
        <v>1491</v>
      </c>
      <c r="C536" s="131" t="s">
        <v>2644</v>
      </c>
      <c r="D536" s="131" t="s">
        <v>3456</v>
      </c>
      <c r="E536" s="132">
        <v>26</v>
      </c>
      <c r="F536" s="132">
        <v>0</v>
      </c>
      <c r="G536" s="132">
        <f t="shared" si="166"/>
        <v>0</v>
      </c>
      <c r="H536" s="132">
        <f t="shared" si="167"/>
        <v>0</v>
      </c>
      <c r="I536" s="132">
        <f t="shared" si="168"/>
        <v>0</v>
      </c>
      <c r="J536" s="132">
        <v>0.00018</v>
      </c>
      <c r="K536" s="132">
        <f t="shared" si="169"/>
        <v>0.00468</v>
      </c>
      <c r="M536" s="133" t="s">
        <v>1101</v>
      </c>
      <c r="N536" s="132">
        <f t="shared" si="170"/>
        <v>0</v>
      </c>
      <c r="Y536" s="132">
        <f t="shared" si="171"/>
        <v>0</v>
      </c>
      <c r="Z536" s="132">
        <f t="shared" si="172"/>
        <v>0</v>
      </c>
      <c r="AA536" s="132">
        <f t="shared" si="173"/>
        <v>0</v>
      </c>
      <c r="AC536" s="125">
        <v>20</v>
      </c>
      <c r="AD536" s="125">
        <f t="shared" si="174"/>
        <v>0</v>
      </c>
      <c r="AE536" s="125">
        <f t="shared" si="175"/>
        <v>0</v>
      </c>
    </row>
    <row r="537" spans="1:31" s="90" customFormat="1" ht="11.25">
      <c r="A537" s="131" t="s">
        <v>417</v>
      </c>
      <c r="B537" s="131" t="s">
        <v>1492</v>
      </c>
      <c r="C537" s="131" t="s">
        <v>2645</v>
      </c>
      <c r="D537" s="131" t="s">
        <v>3456</v>
      </c>
      <c r="E537" s="132">
        <v>6</v>
      </c>
      <c r="F537" s="132">
        <v>0</v>
      </c>
      <c r="G537" s="132">
        <f t="shared" si="166"/>
        <v>0</v>
      </c>
      <c r="H537" s="132">
        <f t="shared" si="167"/>
        <v>0</v>
      </c>
      <c r="I537" s="132">
        <f t="shared" si="168"/>
        <v>0</v>
      </c>
      <c r="J537" s="132">
        <v>0.00032</v>
      </c>
      <c r="K537" s="132">
        <f t="shared" si="169"/>
        <v>0.0019200000000000003</v>
      </c>
      <c r="M537" s="133" t="s">
        <v>1101</v>
      </c>
      <c r="N537" s="132">
        <f t="shared" si="170"/>
        <v>0</v>
      </c>
      <c r="Y537" s="132">
        <f t="shared" si="171"/>
        <v>0</v>
      </c>
      <c r="Z537" s="132">
        <f t="shared" si="172"/>
        <v>0</v>
      </c>
      <c r="AA537" s="132">
        <f t="shared" si="173"/>
        <v>0</v>
      </c>
      <c r="AC537" s="125">
        <v>20</v>
      </c>
      <c r="AD537" s="125">
        <f t="shared" si="174"/>
        <v>0</v>
      </c>
      <c r="AE537" s="125">
        <f t="shared" si="175"/>
        <v>0</v>
      </c>
    </row>
    <row r="538" spans="1:31" s="90" customFormat="1" ht="11.25">
      <c r="A538" s="131" t="s">
        <v>418</v>
      </c>
      <c r="B538" s="131" t="s">
        <v>1493</v>
      </c>
      <c r="C538" s="131" t="s">
        <v>2646</v>
      </c>
      <c r="D538" s="131" t="s">
        <v>3456</v>
      </c>
      <c r="E538" s="132">
        <v>18</v>
      </c>
      <c r="F538" s="132">
        <v>0</v>
      </c>
      <c r="G538" s="132">
        <f t="shared" si="166"/>
        <v>0</v>
      </c>
      <c r="H538" s="132">
        <f t="shared" si="167"/>
        <v>0</v>
      </c>
      <c r="I538" s="132">
        <f t="shared" si="168"/>
        <v>0</v>
      </c>
      <c r="J538" s="132">
        <v>0.00029</v>
      </c>
      <c r="K538" s="132">
        <f t="shared" si="169"/>
        <v>0.00522</v>
      </c>
      <c r="M538" s="133" t="s">
        <v>1101</v>
      </c>
      <c r="N538" s="132">
        <f t="shared" si="170"/>
        <v>0</v>
      </c>
      <c r="Y538" s="132">
        <f t="shared" si="171"/>
        <v>0</v>
      </c>
      <c r="Z538" s="132">
        <f t="shared" si="172"/>
        <v>0</v>
      </c>
      <c r="AA538" s="132">
        <f t="shared" si="173"/>
        <v>0</v>
      </c>
      <c r="AC538" s="125">
        <v>20</v>
      </c>
      <c r="AD538" s="125">
        <f t="shared" si="174"/>
        <v>0</v>
      </c>
      <c r="AE538" s="125">
        <f t="shared" si="175"/>
        <v>0</v>
      </c>
    </row>
    <row r="539" spans="1:31" s="90" customFormat="1" ht="11.25">
      <c r="A539" s="131" t="s">
        <v>419</v>
      </c>
      <c r="B539" s="131" t="s">
        <v>1494</v>
      </c>
      <c r="C539" s="131" t="s">
        <v>2647</v>
      </c>
      <c r="D539" s="131" t="s">
        <v>3456</v>
      </c>
      <c r="E539" s="132">
        <v>1</v>
      </c>
      <c r="F539" s="132">
        <v>0</v>
      </c>
      <c r="G539" s="132">
        <f t="shared" si="166"/>
        <v>0</v>
      </c>
      <c r="H539" s="132">
        <f t="shared" si="167"/>
        <v>0</v>
      </c>
      <c r="I539" s="132">
        <f t="shared" si="168"/>
        <v>0</v>
      </c>
      <c r="J539" s="132">
        <v>0.00046</v>
      </c>
      <c r="K539" s="132">
        <f t="shared" si="169"/>
        <v>0.00046</v>
      </c>
      <c r="M539" s="133" t="s">
        <v>1101</v>
      </c>
      <c r="N539" s="132">
        <f t="shared" si="170"/>
        <v>0</v>
      </c>
      <c r="Y539" s="132">
        <f t="shared" si="171"/>
        <v>0</v>
      </c>
      <c r="Z539" s="132">
        <f t="shared" si="172"/>
        <v>0</v>
      </c>
      <c r="AA539" s="132">
        <f t="shared" si="173"/>
        <v>0</v>
      </c>
      <c r="AC539" s="125">
        <v>20</v>
      </c>
      <c r="AD539" s="125">
        <f t="shared" si="174"/>
        <v>0</v>
      </c>
      <c r="AE539" s="125">
        <f t="shared" si="175"/>
        <v>0</v>
      </c>
    </row>
    <row r="540" spans="1:31" s="90" customFormat="1" ht="11.25">
      <c r="A540" s="131" t="s">
        <v>420</v>
      </c>
      <c r="B540" s="131" t="s">
        <v>1495</v>
      </c>
      <c r="C540" s="131" t="s">
        <v>2648</v>
      </c>
      <c r="D540" s="131" t="s">
        <v>3456</v>
      </c>
      <c r="E540" s="132">
        <v>1</v>
      </c>
      <c r="F540" s="132">
        <v>0</v>
      </c>
      <c r="G540" s="132">
        <f t="shared" si="166"/>
        <v>0</v>
      </c>
      <c r="H540" s="132">
        <f t="shared" si="167"/>
        <v>0</v>
      </c>
      <c r="I540" s="132">
        <f t="shared" si="168"/>
        <v>0</v>
      </c>
      <c r="J540" s="132">
        <v>0.00056</v>
      </c>
      <c r="K540" s="132">
        <f t="shared" si="169"/>
        <v>0.00056</v>
      </c>
      <c r="M540" s="133" t="s">
        <v>1101</v>
      </c>
      <c r="N540" s="132">
        <f t="shared" si="170"/>
        <v>0</v>
      </c>
      <c r="Y540" s="132">
        <f t="shared" si="171"/>
        <v>0</v>
      </c>
      <c r="Z540" s="132">
        <f t="shared" si="172"/>
        <v>0</v>
      </c>
      <c r="AA540" s="132">
        <f t="shared" si="173"/>
        <v>0</v>
      </c>
      <c r="AC540" s="125">
        <v>20</v>
      </c>
      <c r="AD540" s="125">
        <f t="shared" si="174"/>
        <v>0</v>
      </c>
      <c r="AE540" s="125">
        <f t="shared" si="175"/>
        <v>0</v>
      </c>
    </row>
    <row r="541" spans="1:31" s="90" customFormat="1" ht="11.25">
      <c r="A541" s="131" t="s">
        <v>421</v>
      </c>
      <c r="B541" s="131" t="s">
        <v>1496</v>
      </c>
      <c r="C541" s="131" t="s">
        <v>2649</v>
      </c>
      <c r="D541" s="131" t="s">
        <v>3456</v>
      </c>
      <c r="E541" s="132">
        <v>2</v>
      </c>
      <c r="F541" s="132">
        <v>0</v>
      </c>
      <c r="G541" s="132">
        <f t="shared" si="166"/>
        <v>0</v>
      </c>
      <c r="H541" s="132">
        <f t="shared" si="167"/>
        <v>0</v>
      </c>
      <c r="I541" s="132">
        <f t="shared" si="168"/>
        <v>0</v>
      </c>
      <c r="J541" s="132">
        <v>0.00084</v>
      </c>
      <c r="K541" s="132">
        <f t="shared" si="169"/>
        <v>0.00168</v>
      </c>
      <c r="M541" s="133" t="s">
        <v>1101</v>
      </c>
      <c r="N541" s="132">
        <f t="shared" si="170"/>
        <v>0</v>
      </c>
      <c r="Y541" s="132">
        <f t="shared" si="171"/>
        <v>0</v>
      </c>
      <c r="Z541" s="132">
        <f t="shared" si="172"/>
        <v>0</v>
      </c>
      <c r="AA541" s="132">
        <f t="shared" si="173"/>
        <v>0</v>
      </c>
      <c r="AC541" s="125">
        <v>20</v>
      </c>
      <c r="AD541" s="125">
        <f t="shared" si="174"/>
        <v>0</v>
      </c>
      <c r="AE541" s="125">
        <f t="shared" si="175"/>
        <v>0</v>
      </c>
    </row>
    <row r="542" spans="1:31" s="90" customFormat="1" ht="11.25">
      <c r="A542" s="131" t="s">
        <v>422</v>
      </c>
      <c r="B542" s="131" t="s">
        <v>1497</v>
      </c>
      <c r="C542" s="131" t="s">
        <v>2650</v>
      </c>
      <c r="D542" s="131" t="s">
        <v>3456</v>
      </c>
      <c r="E542" s="132">
        <v>1</v>
      </c>
      <c r="F542" s="132">
        <v>0</v>
      </c>
      <c r="G542" s="132">
        <f t="shared" si="166"/>
        <v>0</v>
      </c>
      <c r="H542" s="132">
        <f t="shared" si="167"/>
        <v>0</v>
      </c>
      <c r="I542" s="132">
        <f t="shared" si="168"/>
        <v>0</v>
      </c>
      <c r="J542" s="132">
        <v>0.00142</v>
      </c>
      <c r="K542" s="132">
        <f t="shared" si="169"/>
        <v>0.00142</v>
      </c>
      <c r="M542" s="133" t="s">
        <v>1101</v>
      </c>
      <c r="N542" s="132">
        <f t="shared" si="170"/>
        <v>0</v>
      </c>
      <c r="Y542" s="132">
        <f t="shared" si="171"/>
        <v>0</v>
      </c>
      <c r="Z542" s="132">
        <f t="shared" si="172"/>
        <v>0</v>
      </c>
      <c r="AA542" s="132">
        <f t="shared" si="173"/>
        <v>0</v>
      </c>
      <c r="AC542" s="125">
        <v>20</v>
      </c>
      <c r="AD542" s="125">
        <f t="shared" si="174"/>
        <v>0</v>
      </c>
      <c r="AE542" s="125">
        <f t="shared" si="175"/>
        <v>0</v>
      </c>
    </row>
    <row r="543" spans="1:31" s="90" customFormat="1" ht="11.25">
      <c r="A543" s="131" t="s">
        <v>423</v>
      </c>
      <c r="B543" s="131" t="s">
        <v>1498</v>
      </c>
      <c r="C543" s="131" t="s">
        <v>2651</v>
      </c>
      <c r="D543" s="131" t="s">
        <v>3456</v>
      </c>
      <c r="E543" s="132">
        <v>2</v>
      </c>
      <c r="F543" s="132">
        <v>0</v>
      </c>
      <c r="G543" s="132">
        <f t="shared" si="166"/>
        <v>0</v>
      </c>
      <c r="H543" s="132">
        <f t="shared" si="167"/>
        <v>0</v>
      </c>
      <c r="I543" s="132">
        <f t="shared" si="168"/>
        <v>0</v>
      </c>
      <c r="J543" s="132">
        <v>0.00019</v>
      </c>
      <c r="K543" s="132">
        <f t="shared" si="169"/>
        <v>0.00038</v>
      </c>
      <c r="M543" s="133" t="s">
        <v>1101</v>
      </c>
      <c r="N543" s="132">
        <f t="shared" si="170"/>
        <v>0</v>
      </c>
      <c r="Y543" s="132">
        <f t="shared" si="171"/>
        <v>0</v>
      </c>
      <c r="Z543" s="132">
        <f t="shared" si="172"/>
        <v>0</v>
      </c>
      <c r="AA543" s="132">
        <f t="shared" si="173"/>
        <v>0</v>
      </c>
      <c r="AC543" s="125">
        <v>20</v>
      </c>
      <c r="AD543" s="125">
        <f t="shared" si="174"/>
        <v>0</v>
      </c>
      <c r="AE543" s="125">
        <f t="shared" si="175"/>
        <v>0</v>
      </c>
    </row>
    <row r="544" spans="1:31" s="90" customFormat="1" ht="11.25">
      <c r="A544" s="131" t="s">
        <v>424</v>
      </c>
      <c r="B544" s="131" t="s">
        <v>1499</v>
      </c>
      <c r="C544" s="131" t="s">
        <v>2652</v>
      </c>
      <c r="D544" s="131" t="s">
        <v>3456</v>
      </c>
      <c r="E544" s="132">
        <v>1</v>
      </c>
      <c r="F544" s="132">
        <v>0</v>
      </c>
      <c r="G544" s="132">
        <f t="shared" si="166"/>
        <v>0</v>
      </c>
      <c r="H544" s="132">
        <f t="shared" si="167"/>
        <v>0</v>
      </c>
      <c r="I544" s="132">
        <f t="shared" si="168"/>
        <v>0</v>
      </c>
      <c r="J544" s="132">
        <v>0.00068</v>
      </c>
      <c r="K544" s="132">
        <f t="shared" si="169"/>
        <v>0.00068</v>
      </c>
      <c r="M544" s="133" t="s">
        <v>1101</v>
      </c>
      <c r="N544" s="132">
        <f t="shared" si="170"/>
        <v>0</v>
      </c>
      <c r="Y544" s="132">
        <f t="shared" si="171"/>
        <v>0</v>
      </c>
      <c r="Z544" s="132">
        <f t="shared" si="172"/>
        <v>0</v>
      </c>
      <c r="AA544" s="132">
        <f t="shared" si="173"/>
        <v>0</v>
      </c>
      <c r="AC544" s="125">
        <v>20</v>
      </c>
      <c r="AD544" s="125">
        <f t="shared" si="174"/>
        <v>0</v>
      </c>
      <c r="AE544" s="125">
        <f t="shared" si="175"/>
        <v>0</v>
      </c>
    </row>
    <row r="545" spans="1:31" s="90" customFormat="1" ht="11.25">
      <c r="A545" s="131" t="s">
        <v>425</v>
      </c>
      <c r="B545" s="131" t="s">
        <v>1500</v>
      </c>
      <c r="C545" s="131" t="s">
        <v>2653</v>
      </c>
      <c r="D545" s="131" t="s">
        <v>3456</v>
      </c>
      <c r="E545" s="132">
        <v>1</v>
      </c>
      <c r="F545" s="132">
        <v>0</v>
      </c>
      <c r="G545" s="132">
        <f t="shared" si="166"/>
        <v>0</v>
      </c>
      <c r="H545" s="132">
        <f t="shared" si="167"/>
        <v>0</v>
      </c>
      <c r="I545" s="132">
        <f t="shared" si="168"/>
        <v>0</v>
      </c>
      <c r="J545" s="132">
        <v>0.00085</v>
      </c>
      <c r="K545" s="132">
        <f t="shared" si="169"/>
        <v>0.00085</v>
      </c>
      <c r="M545" s="133" t="s">
        <v>1101</v>
      </c>
      <c r="N545" s="132">
        <f t="shared" si="170"/>
        <v>0</v>
      </c>
      <c r="Y545" s="132">
        <f t="shared" si="171"/>
        <v>0</v>
      </c>
      <c r="Z545" s="132">
        <f t="shared" si="172"/>
        <v>0</v>
      </c>
      <c r="AA545" s="132">
        <f t="shared" si="173"/>
        <v>0</v>
      </c>
      <c r="AC545" s="125">
        <v>20</v>
      </c>
      <c r="AD545" s="125">
        <f t="shared" si="174"/>
        <v>0</v>
      </c>
      <c r="AE545" s="125">
        <f t="shared" si="175"/>
        <v>0</v>
      </c>
    </row>
    <row r="546" spans="1:31" s="90" customFormat="1" ht="11.25">
      <c r="A546" s="131" t="s">
        <v>426</v>
      </c>
      <c r="B546" s="131" t="s">
        <v>1501</v>
      </c>
      <c r="C546" s="131" t="s">
        <v>2654</v>
      </c>
      <c r="D546" s="131" t="s">
        <v>3456</v>
      </c>
      <c r="E546" s="132">
        <v>6</v>
      </c>
      <c r="F546" s="132">
        <v>0</v>
      </c>
      <c r="G546" s="132">
        <f t="shared" si="166"/>
        <v>0</v>
      </c>
      <c r="H546" s="132">
        <f t="shared" si="167"/>
        <v>0</v>
      </c>
      <c r="I546" s="132">
        <f t="shared" si="168"/>
        <v>0</v>
      </c>
      <c r="J546" s="132">
        <v>0</v>
      </c>
      <c r="K546" s="132">
        <f t="shared" si="169"/>
        <v>0</v>
      </c>
      <c r="M546" s="133" t="s">
        <v>1101</v>
      </c>
      <c r="N546" s="132">
        <f t="shared" si="170"/>
        <v>0</v>
      </c>
      <c r="Y546" s="132">
        <f t="shared" si="171"/>
        <v>0</v>
      </c>
      <c r="Z546" s="132">
        <f t="shared" si="172"/>
        <v>0</v>
      </c>
      <c r="AA546" s="132">
        <f t="shared" si="173"/>
        <v>0</v>
      </c>
      <c r="AC546" s="125">
        <v>20</v>
      </c>
      <c r="AD546" s="125">
        <f t="shared" si="174"/>
        <v>0</v>
      </c>
      <c r="AE546" s="125">
        <f t="shared" si="175"/>
        <v>0</v>
      </c>
    </row>
    <row r="547" spans="1:31" s="90" customFormat="1" ht="11.25">
      <c r="A547" s="131" t="s">
        <v>427</v>
      </c>
      <c r="B547" s="131" t="s">
        <v>1502</v>
      </c>
      <c r="C547" s="131" t="s">
        <v>2655</v>
      </c>
      <c r="D547" s="131" t="s">
        <v>3456</v>
      </c>
      <c r="E547" s="132">
        <v>1</v>
      </c>
      <c r="F547" s="132">
        <v>0</v>
      </c>
      <c r="G547" s="132">
        <f t="shared" si="166"/>
        <v>0</v>
      </c>
      <c r="H547" s="132">
        <f t="shared" si="167"/>
        <v>0</v>
      </c>
      <c r="I547" s="132">
        <f t="shared" si="168"/>
        <v>0</v>
      </c>
      <c r="J547" s="132">
        <v>0</v>
      </c>
      <c r="K547" s="132">
        <f t="shared" si="169"/>
        <v>0</v>
      </c>
      <c r="M547" s="133" t="s">
        <v>1101</v>
      </c>
      <c r="N547" s="132">
        <f t="shared" si="170"/>
        <v>0</v>
      </c>
      <c r="Y547" s="132">
        <f t="shared" si="171"/>
        <v>0</v>
      </c>
      <c r="Z547" s="132">
        <f t="shared" si="172"/>
        <v>0</v>
      </c>
      <c r="AA547" s="132">
        <f t="shared" si="173"/>
        <v>0</v>
      </c>
      <c r="AC547" s="125">
        <v>20</v>
      </c>
      <c r="AD547" s="125">
        <f t="shared" si="174"/>
        <v>0</v>
      </c>
      <c r="AE547" s="125">
        <f t="shared" si="175"/>
        <v>0</v>
      </c>
    </row>
    <row r="548" spans="1:31" s="90" customFormat="1" ht="11.25">
      <c r="A548" s="131" t="s">
        <v>428</v>
      </c>
      <c r="B548" s="131" t="s">
        <v>1503</v>
      </c>
      <c r="C548" s="131" t="s">
        <v>2656</v>
      </c>
      <c r="D548" s="131" t="s">
        <v>3456</v>
      </c>
      <c r="E548" s="132">
        <v>26</v>
      </c>
      <c r="F548" s="132">
        <v>0</v>
      </c>
      <c r="G548" s="132">
        <f t="shared" si="166"/>
        <v>0</v>
      </c>
      <c r="H548" s="132">
        <f t="shared" si="167"/>
        <v>0</v>
      </c>
      <c r="I548" s="132">
        <f t="shared" si="168"/>
        <v>0</v>
      </c>
      <c r="J548" s="132">
        <v>0</v>
      </c>
      <c r="K548" s="132">
        <f t="shared" si="169"/>
        <v>0</v>
      </c>
      <c r="M548" s="133" t="s">
        <v>1101</v>
      </c>
      <c r="N548" s="132">
        <f t="shared" si="170"/>
        <v>0</v>
      </c>
      <c r="Y548" s="132">
        <f t="shared" si="171"/>
        <v>0</v>
      </c>
      <c r="Z548" s="132">
        <f t="shared" si="172"/>
        <v>0</v>
      </c>
      <c r="AA548" s="132">
        <f t="shared" si="173"/>
        <v>0</v>
      </c>
      <c r="AC548" s="125">
        <v>20</v>
      </c>
      <c r="AD548" s="125">
        <f t="shared" si="174"/>
        <v>0</v>
      </c>
      <c r="AE548" s="125">
        <f t="shared" si="175"/>
        <v>0</v>
      </c>
    </row>
    <row r="549" spans="1:31" s="90" customFormat="1" ht="11.25">
      <c r="A549" s="131" t="s">
        <v>429</v>
      </c>
      <c r="B549" s="131" t="s">
        <v>1504</v>
      </c>
      <c r="C549" s="131" t="s">
        <v>2657</v>
      </c>
      <c r="D549" s="131" t="s">
        <v>3456</v>
      </c>
      <c r="E549" s="132">
        <v>96</v>
      </c>
      <c r="F549" s="132">
        <v>0</v>
      </c>
      <c r="G549" s="132">
        <f t="shared" si="166"/>
        <v>0</v>
      </c>
      <c r="H549" s="132">
        <f t="shared" si="167"/>
        <v>0</v>
      </c>
      <c r="I549" s="132">
        <f t="shared" si="168"/>
        <v>0</v>
      </c>
      <c r="J549" s="132">
        <v>0</v>
      </c>
      <c r="K549" s="132">
        <f t="shared" si="169"/>
        <v>0</v>
      </c>
      <c r="M549" s="133" t="s">
        <v>1101</v>
      </c>
      <c r="N549" s="132">
        <f t="shared" si="170"/>
        <v>0</v>
      </c>
      <c r="Y549" s="132">
        <f t="shared" si="171"/>
        <v>0</v>
      </c>
      <c r="Z549" s="132">
        <f t="shared" si="172"/>
        <v>0</v>
      </c>
      <c r="AA549" s="132">
        <f t="shared" si="173"/>
        <v>0</v>
      </c>
      <c r="AC549" s="125">
        <v>20</v>
      </c>
      <c r="AD549" s="125">
        <f t="shared" si="174"/>
        <v>0</v>
      </c>
      <c r="AE549" s="125">
        <f t="shared" si="175"/>
        <v>0</v>
      </c>
    </row>
    <row r="550" spans="1:31" s="90" customFormat="1" ht="11.25">
      <c r="A550" s="122" t="s">
        <v>430</v>
      </c>
      <c r="B550" s="122" t="s">
        <v>1505</v>
      </c>
      <c r="C550" s="122" t="s">
        <v>2658</v>
      </c>
      <c r="D550" s="122" t="s">
        <v>3463</v>
      </c>
      <c r="E550" s="123">
        <v>18</v>
      </c>
      <c r="F550" s="123">
        <v>0</v>
      </c>
      <c r="G550" s="123">
        <f t="shared" si="166"/>
        <v>0</v>
      </c>
      <c r="H550" s="123">
        <f t="shared" si="167"/>
        <v>0</v>
      </c>
      <c r="I550" s="123">
        <f t="shared" si="168"/>
        <v>0</v>
      </c>
      <c r="J550" s="123">
        <v>0.00039</v>
      </c>
      <c r="K550" s="123">
        <f t="shared" si="169"/>
        <v>0.00702</v>
      </c>
      <c r="M550" s="124" t="s">
        <v>7</v>
      </c>
      <c r="N550" s="123">
        <f t="shared" si="170"/>
        <v>0</v>
      </c>
      <c r="Y550" s="123">
        <f t="shared" si="171"/>
        <v>0</v>
      </c>
      <c r="Z550" s="123">
        <f t="shared" si="172"/>
        <v>0</v>
      </c>
      <c r="AA550" s="123">
        <f t="shared" si="173"/>
        <v>0</v>
      </c>
      <c r="AC550" s="125">
        <v>20</v>
      </c>
      <c r="AD550" s="125">
        <f>F550*0.713600092517636</f>
        <v>0</v>
      </c>
      <c r="AE550" s="125">
        <f>F550*(1-0.713600092517636)</f>
        <v>0</v>
      </c>
    </row>
    <row r="551" spans="1:31" s="90" customFormat="1" ht="11.25">
      <c r="A551" s="122" t="s">
        <v>431</v>
      </c>
      <c r="B551" s="122" t="s">
        <v>1506</v>
      </c>
      <c r="C551" s="122" t="s">
        <v>2659</v>
      </c>
      <c r="D551" s="122" t="s">
        <v>3456</v>
      </c>
      <c r="E551" s="123">
        <v>29</v>
      </c>
      <c r="F551" s="123">
        <v>0</v>
      </c>
      <c r="G551" s="123">
        <f t="shared" si="166"/>
        <v>0</v>
      </c>
      <c r="H551" s="123">
        <f t="shared" si="167"/>
        <v>0</v>
      </c>
      <c r="I551" s="123">
        <f t="shared" si="168"/>
        <v>0</v>
      </c>
      <c r="J551" s="123">
        <v>0.00027</v>
      </c>
      <c r="K551" s="123">
        <f t="shared" si="169"/>
        <v>0.00783</v>
      </c>
      <c r="M551" s="124" t="s">
        <v>7</v>
      </c>
      <c r="N551" s="123">
        <f t="shared" si="170"/>
        <v>0</v>
      </c>
      <c r="Y551" s="123">
        <f t="shared" si="171"/>
        <v>0</v>
      </c>
      <c r="Z551" s="123">
        <f t="shared" si="172"/>
        <v>0</v>
      </c>
      <c r="AA551" s="123">
        <f t="shared" si="173"/>
        <v>0</v>
      </c>
      <c r="AC551" s="125">
        <v>20</v>
      </c>
      <c r="AD551" s="125">
        <f>F551*0.241291810841984</f>
        <v>0</v>
      </c>
      <c r="AE551" s="125">
        <f>F551*(1-0.241291810841984)</f>
        <v>0</v>
      </c>
    </row>
    <row r="552" spans="1:31" s="90" customFormat="1" ht="11.25">
      <c r="A552" s="122" t="s">
        <v>432</v>
      </c>
      <c r="B552" s="122" t="s">
        <v>1507</v>
      </c>
      <c r="C552" s="122" t="s">
        <v>2660</v>
      </c>
      <c r="D552" s="122" t="s">
        <v>3456</v>
      </c>
      <c r="E552" s="123">
        <v>6</v>
      </c>
      <c r="F552" s="123">
        <v>0</v>
      </c>
      <c r="G552" s="123">
        <f t="shared" si="166"/>
        <v>0</v>
      </c>
      <c r="H552" s="123">
        <f t="shared" si="167"/>
        <v>0</v>
      </c>
      <c r="I552" s="123">
        <f t="shared" si="168"/>
        <v>0</v>
      </c>
      <c r="J552" s="123">
        <v>0</v>
      </c>
      <c r="K552" s="123">
        <f t="shared" si="169"/>
        <v>0</v>
      </c>
      <c r="M552" s="124" t="s">
        <v>7</v>
      </c>
      <c r="N552" s="123">
        <f t="shared" si="170"/>
        <v>0</v>
      </c>
      <c r="Y552" s="123">
        <f t="shared" si="171"/>
        <v>0</v>
      </c>
      <c r="Z552" s="123">
        <f t="shared" si="172"/>
        <v>0</v>
      </c>
      <c r="AA552" s="123">
        <f t="shared" si="173"/>
        <v>0</v>
      </c>
      <c r="AC552" s="125">
        <v>20</v>
      </c>
      <c r="AD552" s="125">
        <f>F552*0.0622317596566524</f>
        <v>0</v>
      </c>
      <c r="AE552" s="125">
        <f>F552*(1-0.0622317596566524)</f>
        <v>0</v>
      </c>
    </row>
    <row r="553" spans="1:31" s="90" customFormat="1" ht="11.25">
      <c r="A553" s="122" t="s">
        <v>433</v>
      </c>
      <c r="B553" s="122" t="s">
        <v>1508</v>
      </c>
      <c r="C553" s="122" t="s">
        <v>2660</v>
      </c>
      <c r="D553" s="122" t="s">
        <v>3456</v>
      </c>
      <c r="E553" s="123">
        <v>8</v>
      </c>
      <c r="F553" s="123">
        <v>0</v>
      </c>
      <c r="G553" s="123">
        <f t="shared" si="166"/>
        <v>0</v>
      </c>
      <c r="H553" s="123">
        <f t="shared" si="167"/>
        <v>0</v>
      </c>
      <c r="I553" s="123">
        <f t="shared" si="168"/>
        <v>0</v>
      </c>
      <c r="J553" s="123">
        <v>8E-05</v>
      </c>
      <c r="K553" s="123">
        <f t="shared" si="169"/>
        <v>0.00064</v>
      </c>
      <c r="M553" s="124" t="s">
        <v>7</v>
      </c>
      <c r="N553" s="123">
        <f t="shared" si="170"/>
        <v>0</v>
      </c>
      <c r="Y553" s="123">
        <f t="shared" si="171"/>
        <v>0</v>
      </c>
      <c r="Z553" s="123">
        <f t="shared" si="172"/>
        <v>0</v>
      </c>
      <c r="AA553" s="123">
        <f t="shared" si="173"/>
        <v>0</v>
      </c>
      <c r="AC553" s="125">
        <v>20</v>
      </c>
      <c r="AD553" s="125">
        <f>F553*0.877120629862218</f>
        <v>0</v>
      </c>
      <c r="AE553" s="125">
        <f>F553*(1-0.877120629862218)</f>
        <v>0</v>
      </c>
    </row>
    <row r="554" s="90" customFormat="1" ht="11.25">
      <c r="C554" s="126" t="s">
        <v>2661</v>
      </c>
    </row>
    <row r="555" spans="1:31" s="90" customFormat="1" ht="11.25">
      <c r="A555" s="122" t="s">
        <v>434</v>
      </c>
      <c r="B555" s="122" t="s">
        <v>1509</v>
      </c>
      <c r="C555" s="122" t="s">
        <v>2662</v>
      </c>
      <c r="D555" s="122" t="s">
        <v>3456</v>
      </c>
      <c r="E555" s="123">
        <v>181</v>
      </c>
      <c r="F555" s="123">
        <v>0</v>
      </c>
      <c r="G555" s="123">
        <f aca="true" t="shared" si="176" ref="G555:G567">ROUND(E555*AD555,2)</f>
        <v>0</v>
      </c>
      <c r="H555" s="123">
        <f aca="true" t="shared" si="177" ref="H555:H567">I555-G555</f>
        <v>0</v>
      </c>
      <c r="I555" s="123">
        <f aca="true" t="shared" si="178" ref="I555:I567">ROUND(E555*F555,2)</f>
        <v>0</v>
      </c>
      <c r="J555" s="123">
        <v>0</v>
      </c>
      <c r="K555" s="123">
        <f aca="true" t="shared" si="179" ref="K555:K567">E555*J555</f>
        <v>0</v>
      </c>
      <c r="M555" s="124" t="s">
        <v>7</v>
      </c>
      <c r="N555" s="123">
        <f aca="true" t="shared" si="180" ref="N555:N567">IF(M555="5",H555,0)</f>
        <v>0</v>
      </c>
      <c r="Y555" s="123">
        <f aca="true" t="shared" si="181" ref="Y555:Y567">IF(AC555=0,I555,0)</f>
        <v>0</v>
      </c>
      <c r="Z555" s="123">
        <f aca="true" t="shared" si="182" ref="Z555:Z567">IF(AC555=14,I555,0)</f>
        <v>0</v>
      </c>
      <c r="AA555" s="123">
        <f aca="true" t="shared" si="183" ref="AA555:AA567">IF(AC555=20,I555,0)</f>
        <v>0</v>
      </c>
      <c r="AC555" s="125">
        <v>20</v>
      </c>
      <c r="AD555" s="125">
        <f>F555*0.0902151283830673</f>
        <v>0</v>
      </c>
      <c r="AE555" s="125">
        <f>F555*(1-0.0902151283830673)</f>
        <v>0</v>
      </c>
    </row>
    <row r="556" spans="1:31" s="90" customFormat="1" ht="11.25">
      <c r="A556" s="122" t="s">
        <v>435</v>
      </c>
      <c r="B556" s="122" t="s">
        <v>1510</v>
      </c>
      <c r="C556" s="122" t="s">
        <v>2663</v>
      </c>
      <c r="D556" s="122" t="s">
        <v>3456</v>
      </c>
      <c r="E556" s="123">
        <v>19</v>
      </c>
      <c r="F556" s="123">
        <v>0</v>
      </c>
      <c r="G556" s="123">
        <f t="shared" si="176"/>
        <v>0</v>
      </c>
      <c r="H556" s="123">
        <f t="shared" si="177"/>
        <v>0</v>
      </c>
      <c r="I556" s="123">
        <f t="shared" si="178"/>
        <v>0</v>
      </c>
      <c r="J556" s="123">
        <v>0</v>
      </c>
      <c r="K556" s="123">
        <f t="shared" si="179"/>
        <v>0</v>
      </c>
      <c r="M556" s="124" t="s">
        <v>7</v>
      </c>
      <c r="N556" s="123">
        <f t="shared" si="180"/>
        <v>0</v>
      </c>
      <c r="Y556" s="123">
        <f t="shared" si="181"/>
        <v>0</v>
      </c>
      <c r="Z556" s="123">
        <f t="shared" si="182"/>
        <v>0</v>
      </c>
      <c r="AA556" s="123">
        <f t="shared" si="183"/>
        <v>0</v>
      </c>
      <c r="AC556" s="125">
        <v>20</v>
      </c>
      <c r="AD556" s="125">
        <f>F556*0.112703583061889</f>
        <v>0</v>
      </c>
      <c r="AE556" s="125">
        <f>F556*(1-0.112703583061889)</f>
        <v>0</v>
      </c>
    </row>
    <row r="557" spans="1:31" s="90" customFormat="1" ht="11.25">
      <c r="A557" s="122" t="s">
        <v>436</v>
      </c>
      <c r="B557" s="122" t="s">
        <v>1511</v>
      </c>
      <c r="C557" s="122" t="s">
        <v>2664</v>
      </c>
      <c r="D557" s="122" t="s">
        <v>3456</v>
      </c>
      <c r="E557" s="123">
        <v>10</v>
      </c>
      <c r="F557" s="123">
        <v>0</v>
      </c>
      <c r="G557" s="123">
        <f t="shared" si="176"/>
        <v>0</v>
      </c>
      <c r="H557" s="123">
        <f t="shared" si="177"/>
        <v>0</v>
      </c>
      <c r="I557" s="123">
        <f t="shared" si="178"/>
        <v>0</v>
      </c>
      <c r="J557" s="123">
        <v>0</v>
      </c>
      <c r="K557" s="123">
        <f t="shared" si="179"/>
        <v>0</v>
      </c>
      <c r="M557" s="124" t="s">
        <v>7</v>
      </c>
      <c r="N557" s="123">
        <f t="shared" si="180"/>
        <v>0</v>
      </c>
      <c r="Y557" s="123">
        <f t="shared" si="181"/>
        <v>0</v>
      </c>
      <c r="Z557" s="123">
        <f t="shared" si="182"/>
        <v>0</v>
      </c>
      <c r="AA557" s="123">
        <f t="shared" si="183"/>
        <v>0</v>
      </c>
      <c r="AC557" s="125">
        <v>20</v>
      </c>
      <c r="AD557" s="125">
        <f>F557*0.140161725067385</f>
        <v>0</v>
      </c>
      <c r="AE557" s="125">
        <f>F557*(1-0.140161725067385)</f>
        <v>0</v>
      </c>
    </row>
    <row r="558" spans="1:31" s="90" customFormat="1" ht="11.25">
      <c r="A558" s="122" t="s">
        <v>437</v>
      </c>
      <c r="B558" s="122" t="s">
        <v>1512</v>
      </c>
      <c r="C558" s="122" t="s">
        <v>2665</v>
      </c>
      <c r="D558" s="122" t="s">
        <v>3456</v>
      </c>
      <c r="E558" s="123">
        <v>18</v>
      </c>
      <c r="F558" s="123">
        <v>0</v>
      </c>
      <c r="G558" s="123">
        <f t="shared" si="176"/>
        <v>0</v>
      </c>
      <c r="H558" s="123">
        <f t="shared" si="177"/>
        <v>0</v>
      </c>
      <c r="I558" s="123">
        <f t="shared" si="178"/>
        <v>0</v>
      </c>
      <c r="J558" s="123">
        <v>0</v>
      </c>
      <c r="K558" s="123">
        <f t="shared" si="179"/>
        <v>0</v>
      </c>
      <c r="M558" s="124" t="s">
        <v>7</v>
      </c>
      <c r="N558" s="123">
        <f t="shared" si="180"/>
        <v>0</v>
      </c>
      <c r="Y558" s="123">
        <f t="shared" si="181"/>
        <v>0</v>
      </c>
      <c r="Z558" s="123">
        <f t="shared" si="182"/>
        <v>0</v>
      </c>
      <c r="AA558" s="123">
        <f t="shared" si="183"/>
        <v>0</v>
      </c>
      <c r="AC558" s="125">
        <v>20</v>
      </c>
      <c r="AD558" s="125">
        <f>F558*0.0913645352669743</f>
        <v>0</v>
      </c>
      <c r="AE558" s="125">
        <f>F558*(1-0.0913645352669743)</f>
        <v>0</v>
      </c>
    </row>
    <row r="559" spans="1:31" s="90" customFormat="1" ht="11.25">
      <c r="A559" s="122" t="s">
        <v>438</v>
      </c>
      <c r="B559" s="122" t="s">
        <v>1513</v>
      </c>
      <c r="C559" s="122" t="s">
        <v>2666</v>
      </c>
      <c r="D559" s="122" t="s">
        <v>3456</v>
      </c>
      <c r="E559" s="123">
        <v>19</v>
      </c>
      <c r="F559" s="123">
        <v>0</v>
      </c>
      <c r="G559" s="123">
        <f t="shared" si="176"/>
        <v>0</v>
      </c>
      <c r="H559" s="123">
        <f t="shared" si="177"/>
        <v>0</v>
      </c>
      <c r="I559" s="123">
        <f t="shared" si="178"/>
        <v>0</v>
      </c>
      <c r="J559" s="123">
        <v>0</v>
      </c>
      <c r="K559" s="123">
        <f t="shared" si="179"/>
        <v>0</v>
      </c>
      <c r="M559" s="124" t="s">
        <v>7</v>
      </c>
      <c r="N559" s="123">
        <f t="shared" si="180"/>
        <v>0</v>
      </c>
      <c r="Y559" s="123">
        <f t="shared" si="181"/>
        <v>0</v>
      </c>
      <c r="Z559" s="123">
        <f t="shared" si="182"/>
        <v>0</v>
      </c>
      <c r="AA559" s="123">
        <f t="shared" si="183"/>
        <v>0</v>
      </c>
      <c r="AC559" s="125">
        <v>20</v>
      </c>
      <c r="AD559" s="125">
        <f>F559*0.0957211731619124</f>
        <v>0</v>
      </c>
      <c r="AE559" s="125">
        <f>F559*(1-0.0957211731619124)</f>
        <v>0</v>
      </c>
    </row>
    <row r="560" spans="1:31" s="90" customFormat="1" ht="11.25">
      <c r="A560" s="122" t="s">
        <v>439</v>
      </c>
      <c r="B560" s="122" t="s">
        <v>1514</v>
      </c>
      <c r="C560" s="122" t="s">
        <v>2667</v>
      </c>
      <c r="D560" s="122" t="s">
        <v>3456</v>
      </c>
      <c r="E560" s="123">
        <v>8</v>
      </c>
      <c r="F560" s="123">
        <v>0</v>
      </c>
      <c r="G560" s="123">
        <f t="shared" si="176"/>
        <v>0</v>
      </c>
      <c r="H560" s="123">
        <f t="shared" si="177"/>
        <v>0</v>
      </c>
      <c r="I560" s="123">
        <f t="shared" si="178"/>
        <v>0</v>
      </c>
      <c r="J560" s="123">
        <v>0</v>
      </c>
      <c r="K560" s="123">
        <f t="shared" si="179"/>
        <v>0</v>
      </c>
      <c r="M560" s="124" t="s">
        <v>7</v>
      </c>
      <c r="N560" s="123">
        <f t="shared" si="180"/>
        <v>0</v>
      </c>
      <c r="Y560" s="123">
        <f t="shared" si="181"/>
        <v>0</v>
      </c>
      <c r="Z560" s="123">
        <f t="shared" si="182"/>
        <v>0</v>
      </c>
      <c r="AA560" s="123">
        <f t="shared" si="183"/>
        <v>0</v>
      </c>
      <c r="AC560" s="125">
        <v>20</v>
      </c>
      <c r="AD560" s="125">
        <f>F560*0.131530522441795</f>
        <v>0</v>
      </c>
      <c r="AE560" s="125">
        <f>F560*(1-0.131530522441795)</f>
        <v>0</v>
      </c>
    </row>
    <row r="561" spans="1:31" s="90" customFormat="1" ht="11.25">
      <c r="A561" s="122" t="s">
        <v>440</v>
      </c>
      <c r="B561" s="122" t="s">
        <v>1515</v>
      </c>
      <c r="C561" s="122" t="s">
        <v>2668</v>
      </c>
      <c r="D561" s="122" t="s">
        <v>3456</v>
      </c>
      <c r="E561" s="123">
        <v>50</v>
      </c>
      <c r="F561" s="123">
        <v>0</v>
      </c>
      <c r="G561" s="123">
        <f t="shared" si="176"/>
        <v>0</v>
      </c>
      <c r="H561" s="123">
        <f t="shared" si="177"/>
        <v>0</v>
      </c>
      <c r="I561" s="123">
        <f t="shared" si="178"/>
        <v>0</v>
      </c>
      <c r="J561" s="123">
        <v>0.00049</v>
      </c>
      <c r="K561" s="123">
        <f t="shared" si="179"/>
        <v>0.0245</v>
      </c>
      <c r="M561" s="124" t="s">
        <v>7</v>
      </c>
      <c r="N561" s="123">
        <f t="shared" si="180"/>
        <v>0</v>
      </c>
      <c r="Y561" s="123">
        <f t="shared" si="181"/>
        <v>0</v>
      </c>
      <c r="Z561" s="123">
        <f t="shared" si="182"/>
        <v>0</v>
      </c>
      <c r="AA561" s="123">
        <f t="shared" si="183"/>
        <v>0</v>
      </c>
      <c r="AC561" s="125">
        <v>20</v>
      </c>
      <c r="AD561" s="125">
        <f>F561*0.762186910853757</f>
        <v>0</v>
      </c>
      <c r="AE561" s="125">
        <f>F561*(1-0.762186910853757)</f>
        <v>0</v>
      </c>
    </row>
    <row r="562" spans="1:31" s="90" customFormat="1" ht="11.25">
      <c r="A562" s="122" t="s">
        <v>441</v>
      </c>
      <c r="B562" s="122" t="s">
        <v>1516</v>
      </c>
      <c r="C562" s="122" t="s">
        <v>2669</v>
      </c>
      <c r="D562" s="122" t="s">
        <v>3456</v>
      </c>
      <c r="E562" s="123">
        <v>25</v>
      </c>
      <c r="F562" s="123">
        <v>0</v>
      </c>
      <c r="G562" s="123">
        <f t="shared" si="176"/>
        <v>0</v>
      </c>
      <c r="H562" s="123">
        <f t="shared" si="177"/>
        <v>0</v>
      </c>
      <c r="I562" s="123">
        <f t="shared" si="178"/>
        <v>0</v>
      </c>
      <c r="J562" s="123">
        <v>0.00018</v>
      </c>
      <c r="K562" s="123">
        <f t="shared" si="179"/>
        <v>0.0045000000000000005</v>
      </c>
      <c r="M562" s="124" t="s">
        <v>7</v>
      </c>
      <c r="N562" s="123">
        <f t="shared" si="180"/>
        <v>0</v>
      </c>
      <c r="Y562" s="123">
        <f t="shared" si="181"/>
        <v>0</v>
      </c>
      <c r="Z562" s="123">
        <f t="shared" si="182"/>
        <v>0</v>
      </c>
      <c r="AA562" s="123">
        <f t="shared" si="183"/>
        <v>0</v>
      </c>
      <c r="AC562" s="125">
        <v>20</v>
      </c>
      <c r="AD562" s="125">
        <f>F562*0.798998693948629</f>
        <v>0</v>
      </c>
      <c r="AE562" s="125">
        <f>F562*(1-0.798998693948629)</f>
        <v>0</v>
      </c>
    </row>
    <row r="563" spans="1:31" s="90" customFormat="1" ht="11.25">
      <c r="A563" s="122" t="s">
        <v>442</v>
      </c>
      <c r="B563" s="122" t="s">
        <v>1517</v>
      </c>
      <c r="C563" s="122" t="s">
        <v>2670</v>
      </c>
      <c r="D563" s="122" t="s">
        <v>3456</v>
      </c>
      <c r="E563" s="123">
        <v>31</v>
      </c>
      <c r="F563" s="123">
        <v>0</v>
      </c>
      <c r="G563" s="123">
        <f t="shared" si="176"/>
        <v>0</v>
      </c>
      <c r="H563" s="123">
        <f t="shared" si="177"/>
        <v>0</v>
      </c>
      <c r="I563" s="123">
        <f t="shared" si="178"/>
        <v>0</v>
      </c>
      <c r="J563" s="123">
        <v>0.00051</v>
      </c>
      <c r="K563" s="123">
        <f t="shared" si="179"/>
        <v>0.01581</v>
      </c>
      <c r="M563" s="124" t="s">
        <v>7</v>
      </c>
      <c r="N563" s="123">
        <f t="shared" si="180"/>
        <v>0</v>
      </c>
      <c r="Y563" s="123">
        <f t="shared" si="181"/>
        <v>0</v>
      </c>
      <c r="Z563" s="123">
        <f t="shared" si="182"/>
        <v>0</v>
      </c>
      <c r="AA563" s="123">
        <f t="shared" si="183"/>
        <v>0</v>
      </c>
      <c r="AC563" s="125">
        <v>20</v>
      </c>
      <c r="AD563" s="125">
        <f>F563*0.691082802547771</f>
        <v>0</v>
      </c>
      <c r="AE563" s="125">
        <f>F563*(1-0.691082802547771)</f>
        <v>0</v>
      </c>
    </row>
    <row r="564" spans="1:31" s="90" customFormat="1" ht="11.25">
      <c r="A564" s="122" t="s">
        <v>443</v>
      </c>
      <c r="B564" s="122" t="s">
        <v>1518</v>
      </c>
      <c r="C564" s="122" t="s">
        <v>2671</v>
      </c>
      <c r="D564" s="122" t="s">
        <v>3456</v>
      </c>
      <c r="E564" s="123">
        <v>16</v>
      </c>
      <c r="F564" s="123">
        <v>0</v>
      </c>
      <c r="G564" s="123">
        <f t="shared" si="176"/>
        <v>0</v>
      </c>
      <c r="H564" s="123">
        <f t="shared" si="177"/>
        <v>0</v>
      </c>
      <c r="I564" s="123">
        <f t="shared" si="178"/>
        <v>0</v>
      </c>
      <c r="J564" s="123">
        <v>1E-05</v>
      </c>
      <c r="K564" s="123">
        <f t="shared" si="179"/>
        <v>0.00016</v>
      </c>
      <c r="M564" s="124" t="s">
        <v>7</v>
      </c>
      <c r="N564" s="123">
        <f t="shared" si="180"/>
        <v>0</v>
      </c>
      <c r="Y564" s="123">
        <f t="shared" si="181"/>
        <v>0</v>
      </c>
      <c r="Z564" s="123">
        <f t="shared" si="182"/>
        <v>0</v>
      </c>
      <c r="AA564" s="123">
        <f t="shared" si="183"/>
        <v>0</v>
      </c>
      <c r="AC564" s="125">
        <v>20</v>
      </c>
      <c r="AD564" s="125">
        <f>F564*0.457236842105263</f>
        <v>0</v>
      </c>
      <c r="AE564" s="125">
        <f>F564*(1-0.457236842105263)</f>
        <v>0</v>
      </c>
    </row>
    <row r="565" spans="1:31" s="90" customFormat="1" ht="11.25">
      <c r="A565" s="122" t="s">
        <v>444</v>
      </c>
      <c r="B565" s="122" t="s">
        <v>1519</v>
      </c>
      <c r="C565" s="122" t="s">
        <v>2672</v>
      </c>
      <c r="D565" s="122" t="s">
        <v>3456</v>
      </c>
      <c r="E565" s="123">
        <v>31</v>
      </c>
      <c r="F565" s="123">
        <v>0</v>
      </c>
      <c r="G565" s="123">
        <f t="shared" si="176"/>
        <v>0</v>
      </c>
      <c r="H565" s="123">
        <f t="shared" si="177"/>
        <v>0</v>
      </c>
      <c r="I565" s="123">
        <f t="shared" si="178"/>
        <v>0</v>
      </c>
      <c r="J565" s="123">
        <v>2E-05</v>
      </c>
      <c r="K565" s="123">
        <f t="shared" si="179"/>
        <v>0.00062</v>
      </c>
      <c r="M565" s="124" t="s">
        <v>7</v>
      </c>
      <c r="N565" s="123">
        <f t="shared" si="180"/>
        <v>0</v>
      </c>
      <c r="Y565" s="123">
        <f t="shared" si="181"/>
        <v>0</v>
      </c>
      <c r="Z565" s="123">
        <f t="shared" si="182"/>
        <v>0</v>
      </c>
      <c r="AA565" s="123">
        <f t="shared" si="183"/>
        <v>0</v>
      </c>
      <c r="AC565" s="125">
        <v>20</v>
      </c>
      <c r="AD565" s="125">
        <f>F565*0.5703125</f>
        <v>0</v>
      </c>
      <c r="AE565" s="125">
        <f>F565*(1-0.5703125)</f>
        <v>0</v>
      </c>
    </row>
    <row r="566" spans="1:31" s="90" customFormat="1" ht="11.25">
      <c r="A566" s="122" t="s">
        <v>445</v>
      </c>
      <c r="B566" s="122" t="s">
        <v>1520</v>
      </c>
      <c r="C566" s="122" t="s">
        <v>2673</v>
      </c>
      <c r="D566" s="122" t="s">
        <v>3456</v>
      </c>
      <c r="E566" s="123">
        <v>15</v>
      </c>
      <c r="F566" s="123">
        <v>0</v>
      </c>
      <c r="G566" s="123">
        <f t="shared" si="176"/>
        <v>0</v>
      </c>
      <c r="H566" s="123">
        <f t="shared" si="177"/>
        <v>0</v>
      </c>
      <c r="I566" s="123">
        <f t="shared" si="178"/>
        <v>0</v>
      </c>
      <c r="J566" s="123">
        <v>0.00297</v>
      </c>
      <c r="K566" s="123">
        <f t="shared" si="179"/>
        <v>0.04455</v>
      </c>
      <c r="M566" s="124" t="s">
        <v>7</v>
      </c>
      <c r="N566" s="123">
        <f t="shared" si="180"/>
        <v>0</v>
      </c>
      <c r="Y566" s="123">
        <f t="shared" si="181"/>
        <v>0</v>
      </c>
      <c r="Z566" s="123">
        <f t="shared" si="182"/>
        <v>0</v>
      </c>
      <c r="AA566" s="123">
        <f t="shared" si="183"/>
        <v>0</v>
      </c>
      <c r="AC566" s="125">
        <v>20</v>
      </c>
      <c r="AD566" s="125">
        <f>F566*0.919149142124241</f>
        <v>0</v>
      </c>
      <c r="AE566" s="125">
        <f>F566*(1-0.919149142124241)</f>
        <v>0</v>
      </c>
    </row>
    <row r="567" spans="1:31" s="90" customFormat="1" ht="11.25">
      <c r="A567" s="122" t="s">
        <v>446</v>
      </c>
      <c r="B567" s="122" t="s">
        <v>1521</v>
      </c>
      <c r="C567" s="122" t="s">
        <v>2674</v>
      </c>
      <c r="D567" s="122" t="s">
        <v>3460</v>
      </c>
      <c r="E567" s="123">
        <v>0.19782</v>
      </c>
      <c r="F567" s="123">
        <v>0</v>
      </c>
      <c r="G567" s="123">
        <f t="shared" si="176"/>
        <v>0</v>
      </c>
      <c r="H567" s="123">
        <f t="shared" si="177"/>
        <v>0</v>
      </c>
      <c r="I567" s="123">
        <f t="shared" si="178"/>
        <v>0</v>
      </c>
      <c r="J567" s="123">
        <v>0</v>
      </c>
      <c r="K567" s="123">
        <f t="shared" si="179"/>
        <v>0</v>
      </c>
      <c r="M567" s="124" t="s">
        <v>11</v>
      </c>
      <c r="N567" s="123">
        <f t="shared" si="180"/>
        <v>0</v>
      </c>
      <c r="Y567" s="123">
        <f t="shared" si="181"/>
        <v>0</v>
      </c>
      <c r="Z567" s="123">
        <f t="shared" si="182"/>
        <v>0</v>
      </c>
      <c r="AA567" s="123">
        <f t="shared" si="183"/>
        <v>0</v>
      </c>
      <c r="AC567" s="125">
        <v>20</v>
      </c>
      <c r="AD567" s="125">
        <f>F567*0</f>
        <v>0</v>
      </c>
      <c r="AE567" s="125">
        <f>F567*(1-0)</f>
        <v>0</v>
      </c>
    </row>
    <row r="568" spans="1:36" s="90" customFormat="1" ht="11.25">
      <c r="A568" s="127"/>
      <c r="B568" s="128" t="s">
        <v>741</v>
      </c>
      <c r="C568" s="129" t="s">
        <v>2675</v>
      </c>
      <c r="D568" s="130"/>
      <c r="E568" s="130"/>
      <c r="F568" s="130"/>
      <c r="G568" s="121">
        <f>SUM(G569:G585)</f>
        <v>0</v>
      </c>
      <c r="H568" s="121">
        <f>SUM(H569:H585)</f>
        <v>0</v>
      </c>
      <c r="I568" s="121">
        <f>G568+H568</f>
        <v>0</v>
      </c>
      <c r="J568" s="114"/>
      <c r="K568" s="121">
        <f>SUM(K569:K585)</f>
        <v>1.89118</v>
      </c>
      <c r="O568" s="121">
        <f>IF(P568="PR",I568,SUM(N569:N585))</f>
        <v>0</v>
      </c>
      <c r="P568" s="114" t="s">
        <v>3490</v>
      </c>
      <c r="Q568" s="121">
        <f>IF(P568="HS",G568,0)</f>
        <v>0</v>
      </c>
      <c r="R568" s="121">
        <f>IF(P568="HS",H568-O568,0)</f>
        <v>0</v>
      </c>
      <c r="S568" s="121">
        <f>IF(P568="PS",G568,0)</f>
        <v>0</v>
      </c>
      <c r="T568" s="121">
        <f>IF(P568="PS",H568-O568,0)</f>
        <v>0</v>
      </c>
      <c r="U568" s="121">
        <f>IF(P568="MP",G568,0)</f>
        <v>0</v>
      </c>
      <c r="V568" s="121">
        <f>IF(P568="MP",H568-O568,0)</f>
        <v>0</v>
      </c>
      <c r="W568" s="121">
        <f>IF(P568="OM",G568,0)</f>
        <v>0</v>
      </c>
      <c r="X568" s="114"/>
      <c r="AH568" s="121">
        <f>SUM(Y569:Y585)</f>
        <v>0</v>
      </c>
      <c r="AI568" s="121">
        <f>SUM(Z569:Z585)</f>
        <v>0</v>
      </c>
      <c r="AJ568" s="121">
        <f>SUM(AA569:AA585)</f>
        <v>0</v>
      </c>
    </row>
    <row r="569" spans="1:31" s="90" customFormat="1" ht="11.25">
      <c r="A569" s="122" t="s">
        <v>447</v>
      </c>
      <c r="B569" s="122" t="s">
        <v>1522</v>
      </c>
      <c r="C569" s="122" t="s">
        <v>2676</v>
      </c>
      <c r="D569" s="122" t="s">
        <v>3456</v>
      </c>
      <c r="E569" s="123">
        <v>2</v>
      </c>
      <c r="F569" s="123">
        <v>0</v>
      </c>
      <c r="G569" s="123">
        <f aca="true" t="shared" si="184" ref="G569:G585">ROUND(E569*AD569,2)</f>
        <v>0</v>
      </c>
      <c r="H569" s="123">
        <f aca="true" t="shared" si="185" ref="H569:H585">I569-G569</f>
        <v>0</v>
      </c>
      <c r="I569" s="123">
        <f aca="true" t="shared" si="186" ref="I569:I585">ROUND(E569*F569,2)</f>
        <v>0</v>
      </c>
      <c r="J569" s="123">
        <v>0.0096</v>
      </c>
      <c r="K569" s="123">
        <f aca="true" t="shared" si="187" ref="K569:K585">E569*J569</f>
        <v>0.0192</v>
      </c>
      <c r="M569" s="124" t="s">
        <v>7</v>
      </c>
      <c r="N569" s="123">
        <f aca="true" t="shared" si="188" ref="N569:N585">IF(M569="5",H569,0)</f>
        <v>0</v>
      </c>
      <c r="Y569" s="123">
        <f aca="true" t="shared" si="189" ref="Y569:Y585">IF(AC569=0,I569,0)</f>
        <v>0</v>
      </c>
      <c r="Z569" s="123">
        <f aca="true" t="shared" si="190" ref="Z569:Z585">IF(AC569=14,I569,0)</f>
        <v>0</v>
      </c>
      <c r="AA569" s="123">
        <f aca="true" t="shared" si="191" ref="AA569:AA585">IF(AC569=20,I569,0)</f>
        <v>0</v>
      </c>
      <c r="AC569" s="125">
        <v>20</v>
      </c>
      <c r="AD569" s="125">
        <f>F569*0.863280586646083</f>
        <v>0</v>
      </c>
      <c r="AE569" s="125">
        <f>F569*(1-0.863280586646083)</f>
        <v>0</v>
      </c>
    </row>
    <row r="570" spans="1:31" s="90" customFormat="1" ht="11.25">
      <c r="A570" s="122" t="s">
        <v>448</v>
      </c>
      <c r="B570" s="122" t="s">
        <v>1523</v>
      </c>
      <c r="C570" s="122" t="s">
        <v>2677</v>
      </c>
      <c r="D570" s="122" t="s">
        <v>3456</v>
      </c>
      <c r="E570" s="123">
        <v>1</v>
      </c>
      <c r="F570" s="123">
        <v>0</v>
      </c>
      <c r="G570" s="123">
        <f t="shared" si="184"/>
        <v>0</v>
      </c>
      <c r="H570" s="123">
        <f t="shared" si="185"/>
        <v>0</v>
      </c>
      <c r="I570" s="123">
        <f t="shared" si="186"/>
        <v>0</v>
      </c>
      <c r="J570" s="123">
        <v>0.01152</v>
      </c>
      <c r="K570" s="123">
        <f t="shared" si="187"/>
        <v>0.01152</v>
      </c>
      <c r="M570" s="124" t="s">
        <v>7</v>
      </c>
      <c r="N570" s="123">
        <f t="shared" si="188"/>
        <v>0</v>
      </c>
      <c r="Y570" s="123">
        <f t="shared" si="189"/>
        <v>0</v>
      </c>
      <c r="Z570" s="123">
        <f t="shared" si="190"/>
        <v>0</v>
      </c>
      <c r="AA570" s="123">
        <f t="shared" si="191"/>
        <v>0</v>
      </c>
      <c r="AC570" s="125">
        <v>20</v>
      </c>
      <c r="AD570" s="125">
        <f>F570*0.873675832535076</f>
        <v>0</v>
      </c>
      <c r="AE570" s="125">
        <f>F570*(1-0.873675832535076)</f>
        <v>0</v>
      </c>
    </row>
    <row r="571" spans="1:31" s="90" customFormat="1" ht="11.25">
      <c r="A571" s="122" t="s">
        <v>449</v>
      </c>
      <c r="B571" s="122" t="s">
        <v>1524</v>
      </c>
      <c r="C571" s="122" t="s">
        <v>2678</v>
      </c>
      <c r="D571" s="122" t="s">
        <v>3456</v>
      </c>
      <c r="E571" s="123">
        <v>1</v>
      </c>
      <c r="F571" s="123">
        <v>0</v>
      </c>
      <c r="G571" s="123">
        <f t="shared" si="184"/>
        <v>0</v>
      </c>
      <c r="H571" s="123">
        <f t="shared" si="185"/>
        <v>0</v>
      </c>
      <c r="I571" s="123">
        <f t="shared" si="186"/>
        <v>0</v>
      </c>
      <c r="J571" s="123">
        <v>0.0376</v>
      </c>
      <c r="K571" s="123">
        <f t="shared" si="187"/>
        <v>0.0376</v>
      </c>
      <c r="M571" s="124" t="s">
        <v>7</v>
      </c>
      <c r="N571" s="123">
        <f t="shared" si="188"/>
        <v>0</v>
      </c>
      <c r="Y571" s="123">
        <f t="shared" si="189"/>
        <v>0</v>
      </c>
      <c r="Z571" s="123">
        <f t="shared" si="190"/>
        <v>0</v>
      </c>
      <c r="AA571" s="123">
        <f t="shared" si="191"/>
        <v>0</v>
      </c>
      <c r="AC571" s="125">
        <v>20</v>
      </c>
      <c r="AD571" s="125">
        <f>F571*0.939436112920157</f>
        <v>0</v>
      </c>
      <c r="AE571" s="125">
        <f>F571*(1-0.939436112920157)</f>
        <v>0</v>
      </c>
    </row>
    <row r="572" spans="1:31" s="90" customFormat="1" ht="11.25">
      <c r="A572" s="122" t="s">
        <v>450</v>
      </c>
      <c r="B572" s="122" t="s">
        <v>1525</v>
      </c>
      <c r="C572" s="122" t="s">
        <v>2679</v>
      </c>
      <c r="D572" s="122" t="s">
        <v>3456</v>
      </c>
      <c r="E572" s="123">
        <v>1</v>
      </c>
      <c r="F572" s="123">
        <v>0</v>
      </c>
      <c r="G572" s="123">
        <f t="shared" si="184"/>
        <v>0</v>
      </c>
      <c r="H572" s="123">
        <f t="shared" si="185"/>
        <v>0</v>
      </c>
      <c r="I572" s="123">
        <f t="shared" si="186"/>
        <v>0</v>
      </c>
      <c r="J572" s="123">
        <v>0.0363</v>
      </c>
      <c r="K572" s="123">
        <f t="shared" si="187"/>
        <v>0.0363</v>
      </c>
      <c r="M572" s="124" t="s">
        <v>7</v>
      </c>
      <c r="N572" s="123">
        <f t="shared" si="188"/>
        <v>0</v>
      </c>
      <c r="Y572" s="123">
        <f t="shared" si="189"/>
        <v>0</v>
      </c>
      <c r="Z572" s="123">
        <f t="shared" si="190"/>
        <v>0</v>
      </c>
      <c r="AA572" s="123">
        <f t="shared" si="191"/>
        <v>0</v>
      </c>
      <c r="AC572" s="125">
        <v>20</v>
      </c>
      <c r="AD572" s="125">
        <f>F572*0.936445149365891</f>
        <v>0</v>
      </c>
      <c r="AE572" s="125">
        <f>F572*(1-0.936445149365891)</f>
        <v>0</v>
      </c>
    </row>
    <row r="573" spans="1:31" s="90" customFormat="1" ht="11.25">
      <c r="A573" s="122" t="s">
        <v>451</v>
      </c>
      <c r="B573" s="122" t="s">
        <v>1526</v>
      </c>
      <c r="C573" s="122" t="s">
        <v>2680</v>
      </c>
      <c r="D573" s="122" t="s">
        <v>3456</v>
      </c>
      <c r="E573" s="123">
        <v>8</v>
      </c>
      <c r="F573" s="123">
        <v>0</v>
      </c>
      <c r="G573" s="123">
        <f t="shared" si="184"/>
        <v>0</v>
      </c>
      <c r="H573" s="123">
        <f t="shared" si="185"/>
        <v>0</v>
      </c>
      <c r="I573" s="123">
        <f t="shared" si="186"/>
        <v>0</v>
      </c>
      <c r="J573" s="123">
        <v>0.04356</v>
      </c>
      <c r="K573" s="123">
        <f t="shared" si="187"/>
        <v>0.34848</v>
      </c>
      <c r="M573" s="124" t="s">
        <v>7</v>
      </c>
      <c r="N573" s="123">
        <f t="shared" si="188"/>
        <v>0</v>
      </c>
      <c r="Y573" s="123">
        <f t="shared" si="189"/>
        <v>0</v>
      </c>
      <c r="Z573" s="123">
        <f t="shared" si="190"/>
        <v>0</v>
      </c>
      <c r="AA573" s="123">
        <f t="shared" si="191"/>
        <v>0</v>
      </c>
      <c r="AC573" s="125">
        <v>20</v>
      </c>
      <c r="AD573" s="125">
        <f>F573*0.940461656236571</f>
        <v>0</v>
      </c>
      <c r="AE573" s="125">
        <f>F573*(1-0.940461656236571)</f>
        <v>0</v>
      </c>
    </row>
    <row r="574" spans="1:31" s="90" customFormat="1" ht="11.25">
      <c r="A574" s="122" t="s">
        <v>452</v>
      </c>
      <c r="B574" s="122" t="s">
        <v>1527</v>
      </c>
      <c r="C574" s="122" t="s">
        <v>2681</v>
      </c>
      <c r="D574" s="122" t="s">
        <v>3456</v>
      </c>
      <c r="E574" s="123">
        <v>5</v>
      </c>
      <c r="F574" s="123">
        <v>0</v>
      </c>
      <c r="G574" s="123">
        <f t="shared" si="184"/>
        <v>0</v>
      </c>
      <c r="H574" s="123">
        <f t="shared" si="185"/>
        <v>0</v>
      </c>
      <c r="I574" s="123">
        <f t="shared" si="186"/>
        <v>0</v>
      </c>
      <c r="J574" s="123">
        <v>0.05082</v>
      </c>
      <c r="K574" s="123">
        <f t="shared" si="187"/>
        <v>0.2541</v>
      </c>
      <c r="M574" s="124" t="s">
        <v>7</v>
      </c>
      <c r="N574" s="123">
        <f t="shared" si="188"/>
        <v>0</v>
      </c>
      <c r="Y574" s="123">
        <f t="shared" si="189"/>
        <v>0</v>
      </c>
      <c r="Z574" s="123">
        <f t="shared" si="190"/>
        <v>0</v>
      </c>
      <c r="AA574" s="123">
        <f t="shared" si="191"/>
        <v>0</v>
      </c>
      <c r="AC574" s="125">
        <v>20</v>
      </c>
      <c r="AD574" s="125">
        <f>F574*0.945758293960691</f>
        <v>0</v>
      </c>
      <c r="AE574" s="125">
        <f>F574*(1-0.945758293960691)</f>
        <v>0</v>
      </c>
    </row>
    <row r="575" spans="1:31" s="90" customFormat="1" ht="11.25">
      <c r="A575" s="122" t="s">
        <v>453</v>
      </c>
      <c r="B575" s="122" t="s">
        <v>1528</v>
      </c>
      <c r="C575" s="122" t="s">
        <v>2682</v>
      </c>
      <c r="D575" s="122" t="s">
        <v>3456</v>
      </c>
      <c r="E575" s="123">
        <v>6</v>
      </c>
      <c r="F575" s="123">
        <v>0</v>
      </c>
      <c r="G575" s="123">
        <f t="shared" si="184"/>
        <v>0</v>
      </c>
      <c r="H575" s="123">
        <f t="shared" si="185"/>
        <v>0</v>
      </c>
      <c r="I575" s="123">
        <f t="shared" si="186"/>
        <v>0</v>
      </c>
      <c r="J575" s="123">
        <v>0.00745</v>
      </c>
      <c r="K575" s="123">
        <f t="shared" si="187"/>
        <v>0.044700000000000004</v>
      </c>
      <c r="M575" s="124" t="s">
        <v>7</v>
      </c>
      <c r="N575" s="123">
        <f t="shared" si="188"/>
        <v>0</v>
      </c>
      <c r="Y575" s="123">
        <f t="shared" si="189"/>
        <v>0</v>
      </c>
      <c r="Z575" s="123">
        <f t="shared" si="190"/>
        <v>0</v>
      </c>
      <c r="AA575" s="123">
        <f t="shared" si="191"/>
        <v>0</v>
      </c>
      <c r="AC575" s="125">
        <v>20</v>
      </c>
      <c r="AD575" s="125">
        <f>F575*0.915688031418004</f>
        <v>0</v>
      </c>
      <c r="AE575" s="125">
        <f>F575*(1-0.915688031418004)</f>
        <v>0</v>
      </c>
    </row>
    <row r="576" spans="1:31" s="90" customFormat="1" ht="11.25">
      <c r="A576" s="122" t="s">
        <v>454</v>
      </c>
      <c r="B576" s="122" t="s">
        <v>1529</v>
      </c>
      <c r="C576" s="122" t="s">
        <v>2683</v>
      </c>
      <c r="D576" s="122" t="s">
        <v>3456</v>
      </c>
      <c r="E576" s="123">
        <v>4</v>
      </c>
      <c r="F576" s="123">
        <v>0</v>
      </c>
      <c r="G576" s="123">
        <f t="shared" si="184"/>
        <v>0</v>
      </c>
      <c r="H576" s="123">
        <f t="shared" si="185"/>
        <v>0</v>
      </c>
      <c r="I576" s="123">
        <f t="shared" si="186"/>
        <v>0</v>
      </c>
      <c r="J576" s="123">
        <v>0.0244</v>
      </c>
      <c r="K576" s="123">
        <f t="shared" si="187"/>
        <v>0.0976</v>
      </c>
      <c r="M576" s="124" t="s">
        <v>7</v>
      </c>
      <c r="N576" s="123">
        <f t="shared" si="188"/>
        <v>0</v>
      </c>
      <c r="Y576" s="123">
        <f t="shared" si="189"/>
        <v>0</v>
      </c>
      <c r="Z576" s="123">
        <f t="shared" si="190"/>
        <v>0</v>
      </c>
      <c r="AA576" s="123">
        <f t="shared" si="191"/>
        <v>0</v>
      </c>
      <c r="AC576" s="125">
        <v>20</v>
      </c>
      <c r="AD576" s="125">
        <f>F576*0.938212698143809</f>
        <v>0</v>
      </c>
      <c r="AE576" s="125">
        <f>F576*(1-0.938212698143809)</f>
        <v>0</v>
      </c>
    </row>
    <row r="577" spans="1:31" s="90" customFormat="1" ht="11.25">
      <c r="A577" s="122" t="s">
        <v>455</v>
      </c>
      <c r="B577" s="122" t="s">
        <v>1530</v>
      </c>
      <c r="C577" s="122" t="s">
        <v>2684</v>
      </c>
      <c r="D577" s="122" t="s">
        <v>3456</v>
      </c>
      <c r="E577" s="123">
        <v>3</v>
      </c>
      <c r="F577" s="123">
        <v>0</v>
      </c>
      <c r="G577" s="123">
        <f t="shared" si="184"/>
        <v>0</v>
      </c>
      <c r="H577" s="123">
        <f t="shared" si="185"/>
        <v>0</v>
      </c>
      <c r="I577" s="123">
        <f t="shared" si="186"/>
        <v>0</v>
      </c>
      <c r="J577" s="123">
        <v>0.0366</v>
      </c>
      <c r="K577" s="123">
        <f t="shared" si="187"/>
        <v>0.10980000000000001</v>
      </c>
      <c r="M577" s="124" t="s">
        <v>7</v>
      </c>
      <c r="N577" s="123">
        <f t="shared" si="188"/>
        <v>0</v>
      </c>
      <c r="Y577" s="123">
        <f t="shared" si="189"/>
        <v>0</v>
      </c>
      <c r="Z577" s="123">
        <f t="shared" si="190"/>
        <v>0</v>
      </c>
      <c r="AA577" s="123">
        <f t="shared" si="191"/>
        <v>0</v>
      </c>
      <c r="AC577" s="125">
        <v>20</v>
      </c>
      <c r="AD577" s="125">
        <f>F577*0.944981512357529</f>
        <v>0</v>
      </c>
      <c r="AE577" s="125">
        <f>F577*(1-0.944981512357529)</f>
        <v>0</v>
      </c>
    </row>
    <row r="578" spans="1:31" s="90" customFormat="1" ht="11.25">
      <c r="A578" s="122" t="s">
        <v>456</v>
      </c>
      <c r="B578" s="122" t="s">
        <v>1531</v>
      </c>
      <c r="C578" s="122" t="s">
        <v>2685</v>
      </c>
      <c r="D578" s="122" t="s">
        <v>3456</v>
      </c>
      <c r="E578" s="123">
        <v>6</v>
      </c>
      <c r="F578" s="123">
        <v>0</v>
      </c>
      <c r="G578" s="123">
        <f t="shared" si="184"/>
        <v>0</v>
      </c>
      <c r="H578" s="123">
        <f t="shared" si="185"/>
        <v>0</v>
      </c>
      <c r="I578" s="123">
        <f t="shared" si="186"/>
        <v>0</v>
      </c>
      <c r="J578" s="123">
        <v>0.0427</v>
      </c>
      <c r="K578" s="123">
        <f t="shared" si="187"/>
        <v>0.2562</v>
      </c>
      <c r="M578" s="124" t="s">
        <v>7</v>
      </c>
      <c r="N578" s="123">
        <f t="shared" si="188"/>
        <v>0</v>
      </c>
      <c r="Y578" s="123">
        <f t="shared" si="189"/>
        <v>0</v>
      </c>
      <c r="Z578" s="123">
        <f t="shared" si="190"/>
        <v>0</v>
      </c>
      <c r="AA578" s="123">
        <f t="shared" si="191"/>
        <v>0</v>
      </c>
      <c r="AC578" s="125">
        <v>20</v>
      </c>
      <c r="AD578" s="125">
        <f>F578*0.948583556289809</f>
        <v>0</v>
      </c>
      <c r="AE578" s="125">
        <f>F578*(1-0.948583556289809)</f>
        <v>0</v>
      </c>
    </row>
    <row r="579" spans="1:31" s="90" customFormat="1" ht="11.25">
      <c r="A579" s="122" t="s">
        <v>457</v>
      </c>
      <c r="B579" s="122" t="s">
        <v>1532</v>
      </c>
      <c r="C579" s="122" t="s">
        <v>2686</v>
      </c>
      <c r="D579" s="122" t="s">
        <v>3456</v>
      </c>
      <c r="E579" s="123">
        <v>4</v>
      </c>
      <c r="F579" s="123">
        <v>0</v>
      </c>
      <c r="G579" s="123">
        <f t="shared" si="184"/>
        <v>0</v>
      </c>
      <c r="H579" s="123">
        <f t="shared" si="185"/>
        <v>0</v>
      </c>
      <c r="I579" s="123">
        <f t="shared" si="186"/>
        <v>0</v>
      </c>
      <c r="J579" s="123">
        <v>0.0488</v>
      </c>
      <c r="K579" s="123">
        <f t="shared" si="187"/>
        <v>0.1952</v>
      </c>
      <c r="M579" s="124" t="s">
        <v>7</v>
      </c>
      <c r="N579" s="123">
        <f t="shared" si="188"/>
        <v>0</v>
      </c>
      <c r="Y579" s="123">
        <f t="shared" si="189"/>
        <v>0</v>
      </c>
      <c r="Z579" s="123">
        <f t="shared" si="190"/>
        <v>0</v>
      </c>
      <c r="AA579" s="123">
        <f t="shared" si="191"/>
        <v>0</v>
      </c>
      <c r="AC579" s="125">
        <v>20</v>
      </c>
      <c r="AD579" s="125">
        <f>F579*0.946423093579703</f>
        <v>0</v>
      </c>
      <c r="AE579" s="125">
        <f>F579*(1-0.946423093579703)</f>
        <v>0</v>
      </c>
    </row>
    <row r="580" spans="1:31" s="90" customFormat="1" ht="11.25">
      <c r="A580" s="122" t="s">
        <v>458</v>
      </c>
      <c r="B580" s="122" t="s">
        <v>1533</v>
      </c>
      <c r="C580" s="122" t="s">
        <v>2687</v>
      </c>
      <c r="D580" s="122" t="s">
        <v>3456</v>
      </c>
      <c r="E580" s="123">
        <v>5</v>
      </c>
      <c r="F580" s="123">
        <v>0</v>
      </c>
      <c r="G580" s="123">
        <f t="shared" si="184"/>
        <v>0</v>
      </c>
      <c r="H580" s="123">
        <f t="shared" si="185"/>
        <v>0</v>
      </c>
      <c r="I580" s="123">
        <f t="shared" si="186"/>
        <v>0</v>
      </c>
      <c r="J580" s="123">
        <v>0.0282</v>
      </c>
      <c r="K580" s="123">
        <f t="shared" si="187"/>
        <v>0.141</v>
      </c>
      <c r="M580" s="124" t="s">
        <v>7</v>
      </c>
      <c r="N580" s="123">
        <f t="shared" si="188"/>
        <v>0</v>
      </c>
      <c r="Y580" s="123">
        <f t="shared" si="189"/>
        <v>0</v>
      </c>
      <c r="Z580" s="123">
        <f t="shared" si="190"/>
        <v>0</v>
      </c>
      <c r="AA580" s="123">
        <f t="shared" si="191"/>
        <v>0</v>
      </c>
      <c r="AC580" s="125">
        <v>20</v>
      </c>
      <c r="AD580" s="125">
        <f>F580*0.944049432876249</f>
        <v>0</v>
      </c>
      <c r="AE580" s="125">
        <f>F580*(1-0.944049432876249)</f>
        <v>0</v>
      </c>
    </row>
    <row r="581" spans="1:31" s="90" customFormat="1" ht="11.25">
      <c r="A581" s="122" t="s">
        <v>459</v>
      </c>
      <c r="B581" s="122" t="s">
        <v>1534</v>
      </c>
      <c r="C581" s="122" t="s">
        <v>2688</v>
      </c>
      <c r="D581" s="122" t="s">
        <v>3456</v>
      </c>
      <c r="E581" s="123">
        <v>4</v>
      </c>
      <c r="F581" s="123">
        <v>0</v>
      </c>
      <c r="G581" s="123">
        <f t="shared" si="184"/>
        <v>0</v>
      </c>
      <c r="H581" s="123">
        <f t="shared" si="185"/>
        <v>0</v>
      </c>
      <c r="I581" s="123">
        <f t="shared" si="186"/>
        <v>0</v>
      </c>
      <c r="J581" s="123">
        <v>0.02904</v>
      </c>
      <c r="K581" s="123">
        <f t="shared" si="187"/>
        <v>0.11616</v>
      </c>
      <c r="M581" s="124" t="s">
        <v>7</v>
      </c>
      <c r="N581" s="123">
        <f t="shared" si="188"/>
        <v>0</v>
      </c>
      <c r="Y581" s="123">
        <f t="shared" si="189"/>
        <v>0</v>
      </c>
      <c r="Z581" s="123">
        <f t="shared" si="190"/>
        <v>0</v>
      </c>
      <c r="AA581" s="123">
        <f t="shared" si="191"/>
        <v>0</v>
      </c>
      <c r="AC581" s="125">
        <v>20</v>
      </c>
      <c r="AD581" s="125">
        <f>F581*0.943548294640298</f>
        <v>0</v>
      </c>
      <c r="AE581" s="125">
        <f>F581*(1-0.943548294640298)</f>
        <v>0</v>
      </c>
    </row>
    <row r="582" spans="1:31" s="90" customFormat="1" ht="11.25">
      <c r="A582" s="122" t="s">
        <v>460</v>
      </c>
      <c r="B582" s="122" t="s">
        <v>1535</v>
      </c>
      <c r="C582" s="122" t="s">
        <v>2689</v>
      </c>
      <c r="D582" s="122" t="s">
        <v>3456</v>
      </c>
      <c r="E582" s="123">
        <v>3</v>
      </c>
      <c r="F582" s="123">
        <v>0</v>
      </c>
      <c r="G582" s="123">
        <f t="shared" si="184"/>
        <v>0</v>
      </c>
      <c r="H582" s="123">
        <f t="shared" si="185"/>
        <v>0</v>
      </c>
      <c r="I582" s="123">
        <f t="shared" si="186"/>
        <v>0</v>
      </c>
      <c r="J582" s="123">
        <v>0.04504</v>
      </c>
      <c r="K582" s="123">
        <f t="shared" si="187"/>
        <v>0.13512</v>
      </c>
      <c r="M582" s="124" t="s">
        <v>7</v>
      </c>
      <c r="N582" s="123">
        <f t="shared" si="188"/>
        <v>0</v>
      </c>
      <c r="Y582" s="123">
        <f t="shared" si="189"/>
        <v>0</v>
      </c>
      <c r="Z582" s="123">
        <f t="shared" si="190"/>
        <v>0</v>
      </c>
      <c r="AA582" s="123">
        <f t="shared" si="191"/>
        <v>0</v>
      </c>
      <c r="AC582" s="125">
        <v>20</v>
      </c>
      <c r="AD582" s="125">
        <f>F582*0.955083785083212</f>
        <v>0</v>
      </c>
      <c r="AE582" s="125">
        <f>F582*(1-0.955083785083212)</f>
        <v>0</v>
      </c>
    </row>
    <row r="583" spans="1:31" s="90" customFormat="1" ht="11.25">
      <c r="A583" s="122" t="s">
        <v>461</v>
      </c>
      <c r="B583" s="122" t="s">
        <v>1536</v>
      </c>
      <c r="C583" s="122" t="s">
        <v>2690</v>
      </c>
      <c r="D583" s="122" t="s">
        <v>3456</v>
      </c>
      <c r="E583" s="123">
        <v>2</v>
      </c>
      <c r="F583" s="123">
        <v>0</v>
      </c>
      <c r="G583" s="123">
        <f t="shared" si="184"/>
        <v>0</v>
      </c>
      <c r="H583" s="123">
        <f t="shared" si="185"/>
        <v>0</v>
      </c>
      <c r="I583" s="123">
        <f t="shared" si="186"/>
        <v>0</v>
      </c>
      <c r="J583" s="123">
        <v>0.0109</v>
      </c>
      <c r="K583" s="123">
        <f t="shared" si="187"/>
        <v>0.0218</v>
      </c>
      <c r="M583" s="124" t="s">
        <v>7</v>
      </c>
      <c r="N583" s="123">
        <f t="shared" si="188"/>
        <v>0</v>
      </c>
      <c r="Y583" s="123">
        <f t="shared" si="189"/>
        <v>0</v>
      </c>
      <c r="Z583" s="123">
        <f t="shared" si="190"/>
        <v>0</v>
      </c>
      <c r="AA583" s="123">
        <f t="shared" si="191"/>
        <v>0</v>
      </c>
      <c r="AC583" s="125">
        <v>20</v>
      </c>
      <c r="AD583" s="125">
        <f>F583*0.884312279439999</f>
        <v>0</v>
      </c>
      <c r="AE583" s="125">
        <f>F583*(1-0.884312279439999)</f>
        <v>0</v>
      </c>
    </row>
    <row r="584" spans="1:31" s="90" customFormat="1" ht="11.25">
      <c r="A584" s="122" t="s">
        <v>462</v>
      </c>
      <c r="B584" s="122" t="s">
        <v>1537</v>
      </c>
      <c r="C584" s="122" t="s">
        <v>2691</v>
      </c>
      <c r="D584" s="122" t="s">
        <v>3456</v>
      </c>
      <c r="E584" s="123">
        <v>4</v>
      </c>
      <c r="F584" s="123">
        <v>0</v>
      </c>
      <c r="G584" s="123">
        <f t="shared" si="184"/>
        <v>0</v>
      </c>
      <c r="H584" s="123">
        <f t="shared" si="185"/>
        <v>0</v>
      </c>
      <c r="I584" s="123">
        <f t="shared" si="186"/>
        <v>0</v>
      </c>
      <c r="J584" s="123">
        <v>0.0166</v>
      </c>
      <c r="K584" s="123">
        <f t="shared" si="187"/>
        <v>0.0664</v>
      </c>
      <c r="M584" s="124" t="s">
        <v>7</v>
      </c>
      <c r="N584" s="123">
        <f t="shared" si="188"/>
        <v>0</v>
      </c>
      <c r="Y584" s="123">
        <f t="shared" si="189"/>
        <v>0</v>
      </c>
      <c r="Z584" s="123">
        <f t="shared" si="190"/>
        <v>0</v>
      </c>
      <c r="AA584" s="123">
        <f t="shared" si="191"/>
        <v>0</v>
      </c>
      <c r="AC584" s="125">
        <v>20</v>
      </c>
      <c r="AD584" s="125">
        <f>F584*0.903508976832624</f>
        <v>0</v>
      </c>
      <c r="AE584" s="125">
        <f>F584*(1-0.903508976832624)</f>
        <v>0</v>
      </c>
    </row>
    <row r="585" spans="1:31" s="90" customFormat="1" ht="11.25">
      <c r="A585" s="122" t="s">
        <v>463</v>
      </c>
      <c r="B585" s="122" t="s">
        <v>1538</v>
      </c>
      <c r="C585" s="122" t="s">
        <v>2692</v>
      </c>
      <c r="D585" s="122" t="s">
        <v>3460</v>
      </c>
      <c r="E585" s="123">
        <v>1.89118</v>
      </c>
      <c r="F585" s="123">
        <v>0</v>
      </c>
      <c r="G585" s="123">
        <f t="shared" si="184"/>
        <v>0</v>
      </c>
      <c r="H585" s="123">
        <f t="shared" si="185"/>
        <v>0</v>
      </c>
      <c r="I585" s="123">
        <f t="shared" si="186"/>
        <v>0</v>
      </c>
      <c r="J585" s="123">
        <v>0</v>
      </c>
      <c r="K585" s="123">
        <f t="shared" si="187"/>
        <v>0</v>
      </c>
      <c r="M585" s="124" t="s">
        <v>11</v>
      </c>
      <c r="N585" s="123">
        <f t="shared" si="188"/>
        <v>0</v>
      </c>
      <c r="Y585" s="123">
        <f t="shared" si="189"/>
        <v>0</v>
      </c>
      <c r="Z585" s="123">
        <f t="shared" si="190"/>
        <v>0</v>
      </c>
      <c r="AA585" s="123">
        <f t="shared" si="191"/>
        <v>0</v>
      </c>
      <c r="AC585" s="125">
        <v>20</v>
      </c>
      <c r="AD585" s="125">
        <f>F585*0</f>
        <v>0</v>
      </c>
      <c r="AE585" s="125">
        <f>F585*(1-0)</f>
        <v>0</v>
      </c>
    </row>
    <row r="586" spans="1:36" s="90" customFormat="1" ht="11.25">
      <c r="A586" s="127"/>
      <c r="B586" s="128" t="s">
        <v>768</v>
      </c>
      <c r="C586" s="129" t="s">
        <v>2693</v>
      </c>
      <c r="D586" s="130"/>
      <c r="E586" s="130"/>
      <c r="F586" s="130"/>
      <c r="G586" s="121">
        <f>SUM(G587:G610)</f>
        <v>0</v>
      </c>
      <c r="H586" s="121">
        <f>SUM(H587:H610)</f>
        <v>0</v>
      </c>
      <c r="I586" s="121">
        <f>G586+H586</f>
        <v>0</v>
      </c>
      <c r="J586" s="114"/>
      <c r="K586" s="121">
        <f>SUM(K587:K610)</f>
        <v>30.190694299999997</v>
      </c>
      <c r="O586" s="121">
        <f>IF(P586="PR",I586,SUM(N587:N610))</f>
        <v>0</v>
      </c>
      <c r="P586" s="114" t="s">
        <v>3490</v>
      </c>
      <c r="Q586" s="121">
        <f>IF(P586="HS",G586,0)</f>
        <v>0</v>
      </c>
      <c r="R586" s="121">
        <f>IF(P586="HS",H586-O586,0)</f>
        <v>0</v>
      </c>
      <c r="S586" s="121">
        <f>IF(P586="PS",G586,0)</f>
        <v>0</v>
      </c>
      <c r="T586" s="121">
        <f>IF(P586="PS",H586-O586,0)</f>
        <v>0</v>
      </c>
      <c r="U586" s="121">
        <f>IF(P586="MP",G586,0)</f>
        <v>0</v>
      </c>
      <c r="V586" s="121">
        <f>IF(P586="MP",H586-O586,0)</f>
        <v>0</v>
      </c>
      <c r="W586" s="121">
        <f>IF(P586="OM",G586,0)</f>
        <v>0</v>
      </c>
      <c r="X586" s="114"/>
      <c r="AH586" s="121">
        <f>SUM(Y587:Y610)</f>
        <v>0</v>
      </c>
      <c r="AI586" s="121">
        <f>SUM(Z587:Z610)</f>
        <v>0</v>
      </c>
      <c r="AJ586" s="121">
        <f>SUM(AA587:AA610)</f>
        <v>0</v>
      </c>
    </row>
    <row r="587" spans="1:31" s="90" customFormat="1" ht="11.25">
      <c r="A587" s="131" t="s">
        <v>464</v>
      </c>
      <c r="B587" s="131" t="s">
        <v>1539</v>
      </c>
      <c r="C587" s="131" t="s">
        <v>2694</v>
      </c>
      <c r="D587" s="131" t="s">
        <v>3455</v>
      </c>
      <c r="E587" s="132">
        <v>254.81</v>
      </c>
      <c r="F587" s="132">
        <v>0</v>
      </c>
      <c r="G587" s="132">
        <f>ROUND(E587*AD587,2)</f>
        <v>0</v>
      </c>
      <c r="H587" s="132">
        <f>I587-G587</f>
        <v>0</v>
      </c>
      <c r="I587" s="132">
        <f>ROUND(E587*F587,2)</f>
        <v>0</v>
      </c>
      <c r="J587" s="132">
        <v>0.045</v>
      </c>
      <c r="K587" s="132">
        <f>E587*J587</f>
        <v>11.46645</v>
      </c>
      <c r="M587" s="133" t="s">
        <v>1101</v>
      </c>
      <c r="N587" s="132">
        <f>IF(M587="5",H587,0)</f>
        <v>0</v>
      </c>
      <c r="Y587" s="132">
        <f>IF(AC587=0,I587,0)</f>
        <v>0</v>
      </c>
      <c r="Z587" s="132">
        <f>IF(AC587=14,I587,0)</f>
        <v>0</v>
      </c>
      <c r="AA587" s="132">
        <f>IF(AC587=20,I587,0)</f>
        <v>0</v>
      </c>
      <c r="AC587" s="125">
        <v>20</v>
      </c>
      <c r="AD587" s="125">
        <f>F587*1</f>
        <v>0</v>
      </c>
      <c r="AE587" s="125">
        <f>F587*(1-1)</f>
        <v>0</v>
      </c>
    </row>
    <row r="588" spans="1:31" s="90" customFormat="1" ht="11.25">
      <c r="A588" s="122" t="s">
        <v>465</v>
      </c>
      <c r="B588" s="122" t="s">
        <v>1540</v>
      </c>
      <c r="C588" s="122" t="s">
        <v>2695</v>
      </c>
      <c r="D588" s="122" t="s">
        <v>3455</v>
      </c>
      <c r="E588" s="123">
        <v>21</v>
      </c>
      <c r="F588" s="123">
        <v>0</v>
      </c>
      <c r="G588" s="123">
        <f>ROUND(E588*AD588,2)</f>
        <v>0</v>
      </c>
      <c r="H588" s="123">
        <f>I588-G588</f>
        <v>0</v>
      </c>
      <c r="I588" s="123">
        <f>ROUND(E588*F588,2)</f>
        <v>0</v>
      </c>
      <c r="J588" s="123">
        <v>0</v>
      </c>
      <c r="K588" s="123">
        <f>E588*J588</f>
        <v>0</v>
      </c>
      <c r="M588" s="124" t="s">
        <v>7</v>
      </c>
      <c r="N588" s="123">
        <f>IF(M588="5",H588,0)</f>
        <v>0</v>
      </c>
      <c r="Y588" s="123">
        <f>IF(AC588=0,I588,0)</f>
        <v>0</v>
      </c>
      <c r="Z588" s="123">
        <f>IF(AC588=14,I588,0)</f>
        <v>0</v>
      </c>
      <c r="AA588" s="123">
        <f>IF(AC588=20,I588,0)</f>
        <v>0</v>
      </c>
      <c r="AC588" s="125">
        <v>20</v>
      </c>
      <c r="AD588" s="125">
        <f>F588*0</f>
        <v>0</v>
      </c>
      <c r="AE588" s="125">
        <f>F588*(1-0)</f>
        <v>0</v>
      </c>
    </row>
    <row r="589" spans="1:31" s="90" customFormat="1" ht="11.25">
      <c r="A589" s="122" t="s">
        <v>466</v>
      </c>
      <c r="B589" s="122" t="s">
        <v>1541</v>
      </c>
      <c r="C589" s="122" t="s">
        <v>2696</v>
      </c>
      <c r="D589" s="122" t="s">
        <v>3455</v>
      </c>
      <c r="E589" s="123">
        <v>52.5</v>
      </c>
      <c r="F589" s="123">
        <v>0</v>
      </c>
      <c r="G589" s="123">
        <f>ROUND(E589*AD589,2)</f>
        <v>0</v>
      </c>
      <c r="H589" s="123">
        <f>I589-G589</f>
        <v>0</v>
      </c>
      <c r="I589" s="123">
        <f>ROUND(E589*F589,2)</f>
        <v>0</v>
      </c>
      <c r="J589" s="123">
        <v>0</v>
      </c>
      <c r="K589" s="123">
        <f>E589*J589</f>
        <v>0</v>
      </c>
      <c r="M589" s="124" t="s">
        <v>7</v>
      </c>
      <c r="N589" s="123">
        <f>IF(M589="5",H589,0)</f>
        <v>0</v>
      </c>
      <c r="Y589" s="123">
        <f>IF(AC589=0,I589,0)</f>
        <v>0</v>
      </c>
      <c r="Z589" s="123">
        <f>IF(AC589=14,I589,0)</f>
        <v>0</v>
      </c>
      <c r="AA589" s="123">
        <f>IF(AC589=20,I589,0)</f>
        <v>0</v>
      </c>
      <c r="AC589" s="125">
        <v>20</v>
      </c>
      <c r="AD589" s="125">
        <f>F589*0</f>
        <v>0</v>
      </c>
      <c r="AE589" s="125">
        <f>F589*(1-0)</f>
        <v>0</v>
      </c>
    </row>
    <row r="590" spans="1:31" s="90" customFormat="1" ht="11.25">
      <c r="A590" s="122" t="s">
        <v>467</v>
      </c>
      <c r="B590" s="122" t="s">
        <v>1542</v>
      </c>
      <c r="C590" s="122" t="s">
        <v>2697</v>
      </c>
      <c r="D590" s="122" t="s">
        <v>3455</v>
      </c>
      <c r="E590" s="123">
        <v>52.5</v>
      </c>
      <c r="F590" s="123">
        <v>0</v>
      </c>
      <c r="G590" s="123">
        <f>ROUND(E590*AD590,2)</f>
        <v>0</v>
      </c>
      <c r="H590" s="123">
        <f>I590-G590</f>
        <v>0</v>
      </c>
      <c r="I590" s="123">
        <f>ROUND(E590*F590,2)</f>
        <v>0</v>
      </c>
      <c r="J590" s="123">
        <v>0.00607</v>
      </c>
      <c r="K590" s="123">
        <f>E590*J590</f>
        <v>0.318675</v>
      </c>
      <c r="M590" s="124" t="s">
        <v>7</v>
      </c>
      <c r="N590" s="123">
        <f>IF(M590="5",H590,0)</f>
        <v>0</v>
      </c>
      <c r="Y590" s="123">
        <f>IF(AC590=0,I590,0)</f>
        <v>0</v>
      </c>
      <c r="Z590" s="123">
        <f>IF(AC590=14,I590,0)</f>
        <v>0</v>
      </c>
      <c r="AA590" s="123">
        <f>IF(AC590=20,I590,0)</f>
        <v>0</v>
      </c>
      <c r="AC590" s="125">
        <v>20</v>
      </c>
      <c r="AD590" s="125">
        <f>F590*0.337412095639944</f>
        <v>0</v>
      </c>
      <c r="AE590" s="125">
        <f>F590*(1-0.337412095639944)</f>
        <v>0</v>
      </c>
    </row>
    <row r="591" s="90" customFormat="1" ht="11.25">
      <c r="C591" s="126" t="s">
        <v>2698</v>
      </c>
    </row>
    <row r="592" spans="1:31" s="90" customFormat="1" ht="11.25">
      <c r="A592" s="122" t="s">
        <v>468</v>
      </c>
      <c r="B592" s="122" t="s">
        <v>1543</v>
      </c>
      <c r="C592" s="122" t="s">
        <v>2697</v>
      </c>
      <c r="D592" s="122" t="s">
        <v>3455</v>
      </c>
      <c r="E592" s="123">
        <v>45</v>
      </c>
      <c r="F592" s="123">
        <v>0</v>
      </c>
      <c r="G592" s="123">
        <f>ROUND(E592*AD592,2)</f>
        <v>0</v>
      </c>
      <c r="H592" s="123">
        <f>I592-G592</f>
        <v>0</v>
      </c>
      <c r="I592" s="123">
        <f>ROUND(E592*F592,2)</f>
        <v>0</v>
      </c>
      <c r="J592" s="123">
        <v>0.00679</v>
      </c>
      <c r="K592" s="123">
        <f>E592*J592</f>
        <v>0.30555</v>
      </c>
      <c r="M592" s="124" t="s">
        <v>7</v>
      </c>
      <c r="N592" s="123">
        <f>IF(M592="5",H592,0)</f>
        <v>0</v>
      </c>
      <c r="Y592" s="123">
        <f>IF(AC592=0,I592,0)</f>
        <v>0</v>
      </c>
      <c r="Z592" s="123">
        <f>IF(AC592=14,I592,0)</f>
        <v>0</v>
      </c>
      <c r="AA592" s="123">
        <f>IF(AC592=20,I592,0)</f>
        <v>0</v>
      </c>
      <c r="AC592" s="125">
        <v>20</v>
      </c>
      <c r="AD592" s="125">
        <f>F592*0.364666217127444</f>
        <v>0</v>
      </c>
      <c r="AE592" s="125">
        <f>F592*(1-0.364666217127444)</f>
        <v>0</v>
      </c>
    </row>
    <row r="593" s="90" customFormat="1" ht="11.25">
      <c r="C593" s="126" t="s">
        <v>2699</v>
      </c>
    </row>
    <row r="594" spans="1:31" s="90" customFormat="1" ht="11.25">
      <c r="A594" s="122" t="s">
        <v>469</v>
      </c>
      <c r="B594" s="122" t="s">
        <v>1544</v>
      </c>
      <c r="C594" s="122" t="s">
        <v>2697</v>
      </c>
      <c r="D594" s="122" t="s">
        <v>3455</v>
      </c>
      <c r="E594" s="123">
        <v>37.05</v>
      </c>
      <c r="F594" s="123">
        <v>0</v>
      </c>
      <c r="G594" s="123">
        <f>ROUND(E594*AD594,2)</f>
        <v>0</v>
      </c>
      <c r="H594" s="123">
        <f>I594-G594</f>
        <v>0</v>
      </c>
      <c r="I594" s="123">
        <f>ROUND(E594*F594,2)</f>
        <v>0</v>
      </c>
      <c r="J594" s="123">
        <v>0.00759</v>
      </c>
      <c r="K594" s="123">
        <f>E594*J594</f>
        <v>0.2812095</v>
      </c>
      <c r="M594" s="124" t="s">
        <v>7</v>
      </c>
      <c r="N594" s="123">
        <f>IF(M594="5",H594,0)</f>
        <v>0</v>
      </c>
      <c r="Y594" s="123">
        <f>IF(AC594=0,I594,0)</f>
        <v>0</v>
      </c>
      <c r="Z594" s="123">
        <f>IF(AC594=14,I594,0)</f>
        <v>0</v>
      </c>
      <c r="AA594" s="123">
        <f>IF(AC594=20,I594,0)</f>
        <v>0</v>
      </c>
      <c r="AC594" s="125">
        <v>20</v>
      </c>
      <c r="AD594" s="125">
        <f>F594*0.594857241142071</f>
        <v>0</v>
      </c>
      <c r="AE594" s="125">
        <f>F594*(1-0.594857241142071)</f>
        <v>0</v>
      </c>
    </row>
    <row r="595" s="90" customFormat="1" ht="11.25">
      <c r="C595" s="126" t="s">
        <v>2700</v>
      </c>
    </row>
    <row r="596" spans="1:31" s="90" customFormat="1" ht="11.25">
      <c r="A596" s="122" t="s">
        <v>470</v>
      </c>
      <c r="B596" s="122" t="s">
        <v>1545</v>
      </c>
      <c r="C596" s="122" t="s">
        <v>2701</v>
      </c>
      <c r="D596" s="122" t="s">
        <v>3455</v>
      </c>
      <c r="E596" s="123">
        <v>189</v>
      </c>
      <c r="F596" s="123">
        <v>0</v>
      </c>
      <c r="G596" s="123">
        <f>ROUND(E596*AD596,2)</f>
        <v>0</v>
      </c>
      <c r="H596" s="123">
        <f>I596-G596</f>
        <v>0</v>
      </c>
      <c r="I596" s="123">
        <f>ROUND(E596*F596,2)</f>
        <v>0</v>
      </c>
      <c r="J596" s="123">
        <v>0.01454</v>
      </c>
      <c r="K596" s="123">
        <f>E596*J596</f>
        <v>2.74806</v>
      </c>
      <c r="M596" s="124" t="s">
        <v>7</v>
      </c>
      <c r="N596" s="123">
        <f>IF(M596="5",H596,0)</f>
        <v>0</v>
      </c>
      <c r="Y596" s="123">
        <f>IF(AC596=0,I596,0)</f>
        <v>0</v>
      </c>
      <c r="Z596" s="123">
        <f>IF(AC596=14,I596,0)</f>
        <v>0</v>
      </c>
      <c r="AA596" s="123">
        <f>IF(AC596=20,I596,0)</f>
        <v>0</v>
      </c>
      <c r="AC596" s="125">
        <v>20</v>
      </c>
      <c r="AD596" s="125">
        <f>F596*0.529059796486147</f>
        <v>0</v>
      </c>
      <c r="AE596" s="125">
        <f>F596*(1-0.529059796486147)</f>
        <v>0</v>
      </c>
    </row>
    <row r="597" s="90" customFormat="1" ht="11.25">
      <c r="C597" s="126" t="s">
        <v>2702</v>
      </c>
    </row>
    <row r="598" spans="1:31" s="90" customFormat="1" ht="11.25">
      <c r="A598" s="122" t="s">
        <v>471</v>
      </c>
      <c r="B598" s="122" t="s">
        <v>1546</v>
      </c>
      <c r="C598" s="122" t="s">
        <v>2703</v>
      </c>
      <c r="D598" s="122" t="s">
        <v>3455</v>
      </c>
      <c r="E598" s="123">
        <v>209.7</v>
      </c>
      <c r="F598" s="123">
        <v>0</v>
      </c>
      <c r="G598" s="123">
        <f>ROUND(E598*AD598,2)</f>
        <v>0</v>
      </c>
      <c r="H598" s="123">
        <f>I598-G598</f>
        <v>0</v>
      </c>
      <c r="I598" s="123">
        <f>ROUND(E598*F598,2)</f>
        <v>0</v>
      </c>
      <c r="J598" s="123">
        <v>0.01793</v>
      </c>
      <c r="K598" s="123">
        <f>E598*J598</f>
        <v>3.7599210000000003</v>
      </c>
      <c r="M598" s="124" t="s">
        <v>7</v>
      </c>
      <c r="N598" s="123">
        <f>IF(M598="5",H598,0)</f>
        <v>0</v>
      </c>
      <c r="Y598" s="123">
        <f>IF(AC598=0,I598,0)</f>
        <v>0</v>
      </c>
      <c r="Z598" s="123">
        <f>IF(AC598=14,I598,0)</f>
        <v>0</v>
      </c>
      <c r="AA598" s="123">
        <f>IF(AC598=20,I598,0)</f>
        <v>0</v>
      </c>
      <c r="AC598" s="125">
        <v>20</v>
      </c>
      <c r="AD598" s="125">
        <f>F598*0.514098778298883</f>
        <v>0</v>
      </c>
      <c r="AE598" s="125">
        <f>F598*(1-0.514098778298883)</f>
        <v>0</v>
      </c>
    </row>
    <row r="599" s="90" customFormat="1" ht="22.5">
      <c r="C599" s="126" t="s">
        <v>2704</v>
      </c>
    </row>
    <row r="600" spans="1:31" s="90" customFormat="1" ht="11.25">
      <c r="A600" s="122" t="s">
        <v>472</v>
      </c>
      <c r="B600" s="122" t="s">
        <v>1547</v>
      </c>
      <c r="C600" s="122" t="s">
        <v>2705</v>
      </c>
      <c r="D600" s="122" t="s">
        <v>3455</v>
      </c>
      <c r="E600" s="123">
        <v>30</v>
      </c>
      <c r="F600" s="123">
        <v>0</v>
      </c>
      <c r="G600" s="123">
        <f>ROUND(E600*AD600,2)</f>
        <v>0</v>
      </c>
      <c r="H600" s="123">
        <f>I600-G600</f>
        <v>0</v>
      </c>
      <c r="I600" s="123">
        <f>ROUND(E600*F600,2)</f>
        <v>0</v>
      </c>
      <c r="J600" s="123">
        <v>0.02821</v>
      </c>
      <c r="K600" s="123">
        <f>E600*J600</f>
        <v>0.8462999999999999</v>
      </c>
      <c r="M600" s="124" t="s">
        <v>7</v>
      </c>
      <c r="N600" s="123">
        <f>IF(M600="5",H600,0)</f>
        <v>0</v>
      </c>
      <c r="Y600" s="123">
        <f>IF(AC600=0,I600,0)</f>
        <v>0</v>
      </c>
      <c r="Z600" s="123">
        <f>IF(AC600=14,I600,0)</f>
        <v>0</v>
      </c>
      <c r="AA600" s="123">
        <f>IF(AC600=20,I600,0)</f>
        <v>0</v>
      </c>
      <c r="AC600" s="125">
        <v>20</v>
      </c>
      <c r="AD600" s="125">
        <f>F600*0.622244842844382</f>
        <v>0</v>
      </c>
      <c r="AE600" s="125">
        <f>F600*(1-0.622244842844382)</f>
        <v>0</v>
      </c>
    </row>
    <row r="601" s="90" customFormat="1" ht="11.25">
      <c r="C601" s="126" t="s">
        <v>2706</v>
      </c>
    </row>
    <row r="602" spans="1:31" s="90" customFormat="1" ht="11.25">
      <c r="A602" s="122" t="s">
        <v>473</v>
      </c>
      <c r="B602" s="122" t="s">
        <v>1548</v>
      </c>
      <c r="C602" s="122" t="s">
        <v>2707</v>
      </c>
      <c r="D602" s="122" t="s">
        <v>3459</v>
      </c>
      <c r="E602" s="123">
        <v>412</v>
      </c>
      <c r="F602" s="123">
        <v>0</v>
      </c>
      <c r="G602" s="123">
        <f>ROUND(E602*AD602,2)</f>
        <v>0</v>
      </c>
      <c r="H602" s="123">
        <f>I602-G602</f>
        <v>0</v>
      </c>
      <c r="I602" s="123">
        <f>ROUND(E602*F602,2)</f>
        <v>0</v>
      </c>
      <c r="J602" s="123">
        <v>0.00257</v>
      </c>
      <c r="K602" s="123">
        <f>E602*J602</f>
        <v>1.05884</v>
      </c>
      <c r="M602" s="124" t="s">
        <v>9</v>
      </c>
      <c r="N602" s="123">
        <f>IF(M602="5",H602,0)</f>
        <v>0</v>
      </c>
      <c r="Y602" s="123">
        <f>IF(AC602=0,I602,0)</f>
        <v>0</v>
      </c>
      <c r="Z602" s="123">
        <f>IF(AC602=14,I602,0)</f>
        <v>0</v>
      </c>
      <c r="AA602" s="123">
        <f>IF(AC602=20,I602,0)</f>
        <v>0</v>
      </c>
      <c r="AC602" s="125">
        <v>20</v>
      </c>
      <c r="AD602" s="125">
        <f>F602*0.315662940257243</f>
        <v>0</v>
      </c>
      <c r="AE602" s="125">
        <f>F602*(1-0.315662940257243)</f>
        <v>0</v>
      </c>
    </row>
    <row r="603" s="90" customFormat="1" ht="11.25">
      <c r="C603" s="126" t="s">
        <v>2708</v>
      </c>
    </row>
    <row r="604" spans="1:31" s="90" customFormat="1" ht="11.25">
      <c r="A604" s="122" t="s">
        <v>474</v>
      </c>
      <c r="B604" s="122" t="s">
        <v>1549</v>
      </c>
      <c r="C604" s="122" t="s">
        <v>2709</v>
      </c>
      <c r="D604" s="122" t="s">
        <v>3459</v>
      </c>
      <c r="E604" s="123">
        <v>464</v>
      </c>
      <c r="F604" s="123">
        <v>0</v>
      </c>
      <c r="G604" s="123">
        <f>ROUND(E604*AD604,2)</f>
        <v>0</v>
      </c>
      <c r="H604" s="123">
        <f>I604-G604</f>
        <v>0</v>
      </c>
      <c r="I604" s="123">
        <f>ROUND(E604*F604,2)</f>
        <v>0</v>
      </c>
      <c r="J604" s="123">
        <v>0.00091</v>
      </c>
      <c r="K604" s="123">
        <f>E604*J604</f>
        <v>0.42224</v>
      </c>
      <c r="M604" s="124" t="s">
        <v>7</v>
      </c>
      <c r="N604" s="123">
        <f>IF(M604="5",H604,0)</f>
        <v>0</v>
      </c>
      <c r="Y604" s="123">
        <f>IF(AC604=0,I604,0)</f>
        <v>0</v>
      </c>
      <c r="Z604" s="123">
        <f>IF(AC604=14,I604,0)</f>
        <v>0</v>
      </c>
      <c r="AA604" s="123">
        <f>IF(AC604=20,I604,0)</f>
        <v>0</v>
      </c>
      <c r="AC604" s="125">
        <v>20</v>
      </c>
      <c r="AD604" s="125">
        <f>F604*0.369955156950673</f>
        <v>0</v>
      </c>
      <c r="AE604" s="125">
        <f>F604*(1-0.369955156950673)</f>
        <v>0</v>
      </c>
    </row>
    <row r="605" s="90" customFormat="1" ht="11.25">
      <c r="C605" s="126" t="s">
        <v>2710</v>
      </c>
    </row>
    <row r="606" spans="1:31" s="90" customFormat="1" ht="11.25">
      <c r="A606" s="122" t="s">
        <v>475</v>
      </c>
      <c r="B606" s="122" t="s">
        <v>1550</v>
      </c>
      <c r="C606" s="122" t="s">
        <v>2711</v>
      </c>
      <c r="D606" s="122" t="s">
        <v>3459</v>
      </c>
      <c r="E606" s="123">
        <v>625.58</v>
      </c>
      <c r="F606" s="123">
        <v>0</v>
      </c>
      <c r="G606" s="123">
        <f>ROUND(E606*AD606,2)</f>
        <v>0</v>
      </c>
      <c r="H606" s="123">
        <f>I606-G606</f>
        <v>0</v>
      </c>
      <c r="I606" s="123">
        <f>ROUND(E606*F606,2)</f>
        <v>0</v>
      </c>
      <c r="J606" s="123">
        <v>0.01426</v>
      </c>
      <c r="K606" s="123">
        <f>E606*J606</f>
        <v>8.920770800000001</v>
      </c>
      <c r="M606" s="124" t="s">
        <v>7</v>
      </c>
      <c r="N606" s="123">
        <f>IF(M606="5",H606,0)</f>
        <v>0</v>
      </c>
      <c r="Y606" s="123">
        <f>IF(AC606=0,I606,0)</f>
        <v>0</v>
      </c>
      <c r="Z606" s="123">
        <f>IF(AC606=14,I606,0)</f>
        <v>0</v>
      </c>
      <c r="AA606" s="123">
        <f>IF(AC606=20,I606,0)</f>
        <v>0</v>
      </c>
      <c r="AC606" s="125">
        <v>20</v>
      </c>
      <c r="AD606" s="125">
        <f>F606*0.777769224847972</f>
        <v>0</v>
      </c>
      <c r="AE606" s="125">
        <f>F606*(1-0.777769224847972)</f>
        <v>0</v>
      </c>
    </row>
    <row r="607" s="90" customFormat="1" ht="22.5">
      <c r="C607" s="126" t="s">
        <v>2712</v>
      </c>
    </row>
    <row r="608" spans="1:31" s="90" customFormat="1" ht="11.25">
      <c r="A608" s="122" t="s">
        <v>476</v>
      </c>
      <c r="B608" s="122" t="s">
        <v>1551</v>
      </c>
      <c r="C608" s="122" t="s">
        <v>2713</v>
      </c>
      <c r="D608" s="122" t="s">
        <v>3458</v>
      </c>
      <c r="E608" s="123">
        <v>5.18</v>
      </c>
      <c r="F608" s="123">
        <v>0</v>
      </c>
      <c r="G608" s="123">
        <f>ROUND(E608*AD608,2)</f>
        <v>0</v>
      </c>
      <c r="H608" s="123">
        <f>I608-G608</f>
        <v>0</v>
      </c>
      <c r="I608" s="123">
        <f>ROUND(E608*F608,2)</f>
        <v>0</v>
      </c>
      <c r="J608" s="123">
        <v>0.0121</v>
      </c>
      <c r="K608" s="123">
        <f>E608*J608</f>
        <v>0.062678</v>
      </c>
      <c r="M608" s="124" t="s">
        <v>7</v>
      </c>
      <c r="N608" s="123">
        <f>IF(M608="5",H608,0)</f>
        <v>0</v>
      </c>
      <c r="Y608" s="123">
        <f>IF(AC608=0,I608,0)</f>
        <v>0</v>
      </c>
      <c r="Z608" s="123">
        <f>IF(AC608=14,I608,0)</f>
        <v>0</v>
      </c>
      <c r="AA608" s="123">
        <f>IF(AC608=20,I608,0)</f>
        <v>0</v>
      </c>
      <c r="AC608" s="125">
        <v>20</v>
      </c>
      <c r="AD608" s="125">
        <f>F608*0.990436322301403</f>
        <v>0</v>
      </c>
      <c r="AE608" s="125">
        <f>F608*(1-0.990436322301403)</f>
        <v>0</v>
      </c>
    </row>
    <row r="609" spans="1:31" s="90" customFormat="1" ht="11.25">
      <c r="A609" s="122" t="s">
        <v>477</v>
      </c>
      <c r="B609" s="122" t="s">
        <v>1552</v>
      </c>
      <c r="C609" s="122" t="s">
        <v>2714</v>
      </c>
      <c r="D609" s="122" t="s">
        <v>3455</v>
      </c>
      <c r="E609" s="123">
        <v>254.81</v>
      </c>
      <c r="F609" s="123">
        <v>0</v>
      </c>
      <c r="G609" s="123">
        <f>ROUND(E609*AD609,2)</f>
        <v>0</v>
      </c>
      <c r="H609" s="123">
        <f>I609-G609</f>
        <v>0</v>
      </c>
      <c r="I609" s="123">
        <f>ROUND(E609*F609,2)</f>
        <v>0</v>
      </c>
      <c r="J609" s="123">
        <v>0</v>
      </c>
      <c r="K609" s="123">
        <f>E609*J609</f>
        <v>0</v>
      </c>
      <c r="M609" s="124" t="s">
        <v>7</v>
      </c>
      <c r="N609" s="123">
        <f>IF(M609="5",H609,0)</f>
        <v>0</v>
      </c>
      <c r="Y609" s="123">
        <f>IF(AC609=0,I609,0)</f>
        <v>0</v>
      </c>
      <c r="Z609" s="123">
        <f>IF(AC609=14,I609,0)</f>
        <v>0</v>
      </c>
      <c r="AA609" s="123">
        <f>IF(AC609=20,I609,0)</f>
        <v>0</v>
      </c>
      <c r="AC609" s="125">
        <v>20</v>
      </c>
      <c r="AD609" s="125">
        <f>F609*0</f>
        <v>0</v>
      </c>
      <c r="AE609" s="125">
        <f>F609*(1-0)</f>
        <v>0</v>
      </c>
    </row>
    <row r="610" spans="1:31" s="90" customFormat="1" ht="11.25">
      <c r="A610" s="122" t="s">
        <v>478</v>
      </c>
      <c r="B610" s="122" t="s">
        <v>1553</v>
      </c>
      <c r="C610" s="122" t="s">
        <v>2715</v>
      </c>
      <c r="D610" s="122" t="s">
        <v>3460</v>
      </c>
      <c r="E610" s="123">
        <v>30.19069</v>
      </c>
      <c r="F610" s="123">
        <v>0</v>
      </c>
      <c r="G610" s="123">
        <f>ROUND(E610*AD610,2)</f>
        <v>0</v>
      </c>
      <c r="H610" s="123">
        <f>I610-G610</f>
        <v>0</v>
      </c>
      <c r="I610" s="123">
        <f>ROUND(E610*F610,2)</f>
        <v>0</v>
      </c>
      <c r="J610" s="123">
        <v>0</v>
      </c>
      <c r="K610" s="123">
        <f>E610*J610</f>
        <v>0</v>
      </c>
      <c r="M610" s="124" t="s">
        <v>11</v>
      </c>
      <c r="N610" s="123">
        <f>IF(M610="5",H610,0)</f>
        <v>0</v>
      </c>
      <c r="Y610" s="123">
        <f>IF(AC610=0,I610,0)</f>
        <v>0</v>
      </c>
      <c r="Z610" s="123">
        <f>IF(AC610=14,I610,0)</f>
        <v>0</v>
      </c>
      <c r="AA610" s="123">
        <f>IF(AC610=20,I610,0)</f>
        <v>0</v>
      </c>
      <c r="AC610" s="125">
        <v>20</v>
      </c>
      <c r="AD610" s="125">
        <f>F610*0</f>
        <v>0</v>
      </c>
      <c r="AE610" s="125">
        <f>F610*(1-0)</f>
        <v>0</v>
      </c>
    </row>
    <row r="611" spans="1:36" s="90" customFormat="1" ht="11.25">
      <c r="A611" s="127"/>
      <c r="B611" s="128" t="s">
        <v>770</v>
      </c>
      <c r="C611" s="129" t="s">
        <v>2716</v>
      </c>
      <c r="D611" s="130"/>
      <c r="E611" s="130"/>
      <c r="F611" s="130"/>
      <c r="G611" s="121">
        <f>SUM(G612:G624)</f>
        <v>0</v>
      </c>
      <c r="H611" s="121">
        <f>SUM(H612:H624)</f>
        <v>0</v>
      </c>
      <c r="I611" s="121">
        <f>G611+H611</f>
        <v>0</v>
      </c>
      <c r="J611" s="114"/>
      <c r="K611" s="121">
        <f>SUM(K612:K624)</f>
        <v>4.3498994</v>
      </c>
      <c r="O611" s="121">
        <f>IF(P611="PR",I611,SUM(N612:N624))</f>
        <v>0</v>
      </c>
      <c r="P611" s="114" t="s">
        <v>3490</v>
      </c>
      <c r="Q611" s="121">
        <f>IF(P611="HS",G611,0)</f>
        <v>0</v>
      </c>
      <c r="R611" s="121">
        <f>IF(P611="HS",H611-O611,0)</f>
        <v>0</v>
      </c>
      <c r="S611" s="121">
        <f>IF(P611="PS",G611,0)</f>
        <v>0</v>
      </c>
      <c r="T611" s="121">
        <f>IF(P611="PS",H611-O611,0)</f>
        <v>0</v>
      </c>
      <c r="U611" s="121">
        <f>IF(P611="MP",G611,0)</f>
        <v>0</v>
      </c>
      <c r="V611" s="121">
        <f>IF(P611="MP",H611-O611,0)</f>
        <v>0</v>
      </c>
      <c r="W611" s="121">
        <f>IF(P611="OM",G611,0)</f>
        <v>0</v>
      </c>
      <c r="X611" s="114"/>
      <c r="AH611" s="121">
        <f>SUM(Y612:Y624)</f>
        <v>0</v>
      </c>
      <c r="AI611" s="121">
        <f>SUM(Z612:Z624)</f>
        <v>0</v>
      </c>
      <c r="AJ611" s="121">
        <f>SUM(AA612:AA624)</f>
        <v>0</v>
      </c>
    </row>
    <row r="612" spans="1:31" s="90" customFormat="1" ht="11.25">
      <c r="A612" s="122" t="s">
        <v>479</v>
      </c>
      <c r="B612" s="122" t="s">
        <v>1554</v>
      </c>
      <c r="C612" s="122" t="s">
        <v>2717</v>
      </c>
      <c r="D612" s="122" t="s">
        <v>3459</v>
      </c>
      <c r="E612" s="123">
        <v>171.68</v>
      </c>
      <c r="F612" s="123">
        <v>0</v>
      </c>
      <c r="G612" s="123">
        <f>ROUND(E612*AD612,2)</f>
        <v>0</v>
      </c>
      <c r="H612" s="123">
        <f>I612-G612</f>
        <v>0</v>
      </c>
      <c r="I612" s="123">
        <f>ROUND(E612*F612,2)</f>
        <v>0</v>
      </c>
      <c r="J612" s="123">
        <v>0.01772</v>
      </c>
      <c r="K612" s="123">
        <f>E612*J612</f>
        <v>3.0421696000000003</v>
      </c>
      <c r="M612" s="124" t="s">
        <v>7</v>
      </c>
      <c r="N612" s="123">
        <f>IF(M612="5",H612,0)</f>
        <v>0</v>
      </c>
      <c r="Y612" s="123">
        <f>IF(AC612=0,I612,0)</f>
        <v>0</v>
      </c>
      <c r="Z612" s="123">
        <f>IF(AC612=14,I612,0)</f>
        <v>0</v>
      </c>
      <c r="AA612" s="123">
        <f>IF(AC612=20,I612,0)</f>
        <v>0</v>
      </c>
      <c r="AC612" s="125">
        <v>20</v>
      </c>
      <c r="AD612" s="125">
        <f>F612*0.559469836655893</f>
        <v>0</v>
      </c>
      <c r="AE612" s="125">
        <f>F612*(1-0.559469836655893)</f>
        <v>0</v>
      </c>
    </row>
    <row r="613" spans="1:31" s="90" customFormat="1" ht="11.25">
      <c r="A613" s="122" t="s">
        <v>480</v>
      </c>
      <c r="B613" s="122" t="s">
        <v>1555</v>
      </c>
      <c r="C613" s="122" t="s">
        <v>2718</v>
      </c>
      <c r="D613" s="122" t="s">
        <v>3455</v>
      </c>
      <c r="E613" s="123">
        <v>106</v>
      </c>
      <c r="F613" s="123">
        <v>0</v>
      </c>
      <c r="G613" s="123">
        <f>ROUND(E613*AD613,2)</f>
        <v>0</v>
      </c>
      <c r="H613" s="123">
        <f>I613-G613</f>
        <v>0</v>
      </c>
      <c r="I613" s="123">
        <f>ROUND(E613*F613,2)</f>
        <v>0</v>
      </c>
      <c r="J613" s="123">
        <v>0.00404</v>
      </c>
      <c r="K613" s="123">
        <f>E613*J613</f>
        <v>0.42824</v>
      </c>
      <c r="M613" s="124" t="s">
        <v>9</v>
      </c>
      <c r="N613" s="123">
        <f>IF(M613="5",H613,0)</f>
        <v>0</v>
      </c>
      <c r="Y613" s="123">
        <f>IF(AC613=0,I613,0)</f>
        <v>0</v>
      </c>
      <c r="Z613" s="123">
        <f>IF(AC613=14,I613,0)</f>
        <v>0</v>
      </c>
      <c r="AA613" s="123">
        <f>IF(AC613=20,I613,0)</f>
        <v>0</v>
      </c>
      <c r="AC613" s="125">
        <v>20</v>
      </c>
      <c r="AD613" s="125">
        <f>F613*0.504959034066408</f>
        <v>0</v>
      </c>
      <c r="AE613" s="125">
        <f>F613*(1-0.504959034066408)</f>
        <v>0</v>
      </c>
    </row>
    <row r="614" s="90" customFormat="1" ht="11.25">
      <c r="C614" s="126" t="s">
        <v>2719</v>
      </c>
    </row>
    <row r="615" spans="1:31" s="90" customFormat="1" ht="11.25">
      <c r="A615" s="122" t="s">
        <v>481</v>
      </c>
      <c r="B615" s="122" t="s">
        <v>1556</v>
      </c>
      <c r="C615" s="122" t="s">
        <v>2720</v>
      </c>
      <c r="D615" s="122" t="s">
        <v>3455</v>
      </c>
      <c r="E615" s="123">
        <v>116</v>
      </c>
      <c r="F615" s="123">
        <v>0</v>
      </c>
      <c r="G615" s="123">
        <f>ROUND(E615*AD615,2)</f>
        <v>0</v>
      </c>
      <c r="H615" s="123">
        <f>I615-G615</f>
        <v>0</v>
      </c>
      <c r="I615" s="123">
        <f>ROUND(E615*F615,2)</f>
        <v>0</v>
      </c>
      <c r="J615" s="123">
        <v>0.00266</v>
      </c>
      <c r="K615" s="123">
        <f>E615*J615</f>
        <v>0.30856</v>
      </c>
      <c r="M615" s="124" t="s">
        <v>9</v>
      </c>
      <c r="N615" s="123">
        <f>IF(M615="5",H615,0)</f>
        <v>0</v>
      </c>
      <c r="Y615" s="123">
        <f>IF(AC615=0,I615,0)</f>
        <v>0</v>
      </c>
      <c r="Z615" s="123">
        <f>IF(AC615=14,I615,0)</f>
        <v>0</v>
      </c>
      <c r="AA615" s="123">
        <f>IF(AC615=20,I615,0)</f>
        <v>0</v>
      </c>
      <c r="AC615" s="125">
        <v>20</v>
      </c>
      <c r="AD615" s="125">
        <f>F615*0.68925672113864</f>
        <v>0</v>
      </c>
      <c r="AE615" s="125">
        <f>F615*(1-0.68925672113864)</f>
        <v>0</v>
      </c>
    </row>
    <row r="616" s="90" customFormat="1" ht="11.25">
      <c r="C616" s="126" t="s">
        <v>2719</v>
      </c>
    </row>
    <row r="617" spans="1:31" s="90" customFormat="1" ht="11.25">
      <c r="A617" s="122" t="s">
        <v>482</v>
      </c>
      <c r="B617" s="122" t="s">
        <v>1557</v>
      </c>
      <c r="C617" s="122" t="s">
        <v>2721</v>
      </c>
      <c r="D617" s="122" t="s">
        <v>3455</v>
      </c>
      <c r="E617" s="123">
        <v>94.37</v>
      </c>
      <c r="F617" s="123">
        <v>0</v>
      </c>
      <c r="G617" s="123">
        <f>ROUND(E617*AD617,2)</f>
        <v>0</v>
      </c>
      <c r="H617" s="123">
        <f>I617-G617</f>
        <v>0</v>
      </c>
      <c r="I617" s="123">
        <f>ROUND(E617*F617,2)</f>
        <v>0</v>
      </c>
      <c r="J617" s="123">
        <v>0.00254</v>
      </c>
      <c r="K617" s="123">
        <f>E617*J617</f>
        <v>0.23969980000000002</v>
      </c>
      <c r="M617" s="124" t="s">
        <v>9</v>
      </c>
      <c r="N617" s="123">
        <f>IF(M617="5",H617,0)</f>
        <v>0</v>
      </c>
      <c r="Y617" s="123">
        <f>IF(AC617=0,I617,0)</f>
        <v>0</v>
      </c>
      <c r="Z617" s="123">
        <f>IF(AC617=14,I617,0)</f>
        <v>0</v>
      </c>
      <c r="AA617" s="123">
        <f>IF(AC617=20,I617,0)</f>
        <v>0</v>
      </c>
      <c r="AC617" s="125">
        <v>20</v>
      </c>
      <c r="AD617" s="125">
        <f>F617*0.394277408778245</f>
        <v>0</v>
      </c>
      <c r="AE617" s="125">
        <f>F617*(1-0.394277408778245)</f>
        <v>0</v>
      </c>
    </row>
    <row r="618" s="90" customFormat="1" ht="11.25">
      <c r="C618" s="126" t="s">
        <v>2722</v>
      </c>
    </row>
    <row r="619" spans="1:31" s="90" customFormat="1" ht="11.25">
      <c r="A619" s="122" t="s">
        <v>483</v>
      </c>
      <c r="B619" s="122" t="s">
        <v>1558</v>
      </c>
      <c r="C619" s="122" t="s">
        <v>2723</v>
      </c>
      <c r="D619" s="122" t="s">
        <v>3455</v>
      </c>
      <c r="E619" s="123">
        <v>35</v>
      </c>
      <c r="F619" s="123">
        <v>0</v>
      </c>
      <c r="G619" s="123">
        <f aca="true" t="shared" si="192" ref="G619:G624">ROUND(E619*AD619,2)</f>
        <v>0</v>
      </c>
      <c r="H619" s="123">
        <f aca="true" t="shared" si="193" ref="H619:H624">I619-G619</f>
        <v>0</v>
      </c>
      <c r="I619" s="123">
        <f aca="true" t="shared" si="194" ref="I619:I624">ROUND(E619*F619,2)</f>
        <v>0</v>
      </c>
      <c r="J619" s="123">
        <v>0.00375</v>
      </c>
      <c r="K619" s="123">
        <f aca="true" t="shared" si="195" ref="K619:K624">E619*J619</f>
        <v>0.13125</v>
      </c>
      <c r="M619" s="124" t="s">
        <v>7</v>
      </c>
      <c r="N619" s="123">
        <f aca="true" t="shared" si="196" ref="N619:N624">IF(M619="5",H619,0)</f>
        <v>0</v>
      </c>
      <c r="Y619" s="123">
        <f aca="true" t="shared" si="197" ref="Y619:Y624">IF(AC619=0,I619,0)</f>
        <v>0</v>
      </c>
      <c r="Z619" s="123">
        <f aca="true" t="shared" si="198" ref="Z619:Z624">IF(AC619=14,I619,0)</f>
        <v>0</v>
      </c>
      <c r="AA619" s="123">
        <f aca="true" t="shared" si="199" ref="AA619:AA624">IF(AC619=20,I619,0)</f>
        <v>0</v>
      </c>
      <c r="AC619" s="125">
        <v>20</v>
      </c>
      <c r="AD619" s="125">
        <f>F619*0.518998872213065</f>
        <v>0</v>
      </c>
      <c r="AE619" s="125">
        <f>F619*(1-0.518998872213065)</f>
        <v>0</v>
      </c>
    </row>
    <row r="620" spans="1:31" s="90" customFormat="1" ht="11.25">
      <c r="A620" s="122" t="s">
        <v>484</v>
      </c>
      <c r="B620" s="122" t="s">
        <v>1559</v>
      </c>
      <c r="C620" s="122" t="s">
        <v>2724</v>
      </c>
      <c r="D620" s="122" t="s">
        <v>3455</v>
      </c>
      <c r="E620" s="123">
        <v>15</v>
      </c>
      <c r="F620" s="123">
        <v>0</v>
      </c>
      <c r="G620" s="123">
        <f t="shared" si="192"/>
        <v>0</v>
      </c>
      <c r="H620" s="123">
        <f t="shared" si="193"/>
        <v>0</v>
      </c>
      <c r="I620" s="123">
        <f t="shared" si="194"/>
        <v>0</v>
      </c>
      <c r="J620" s="123">
        <v>0.00159</v>
      </c>
      <c r="K620" s="123">
        <f t="shared" si="195"/>
        <v>0.02385</v>
      </c>
      <c r="M620" s="124" t="s">
        <v>7</v>
      </c>
      <c r="N620" s="123">
        <f t="shared" si="196"/>
        <v>0</v>
      </c>
      <c r="Y620" s="123">
        <f t="shared" si="197"/>
        <v>0</v>
      </c>
      <c r="Z620" s="123">
        <f t="shared" si="198"/>
        <v>0</v>
      </c>
      <c r="AA620" s="123">
        <f t="shared" si="199"/>
        <v>0</v>
      </c>
      <c r="AC620" s="125">
        <v>20</v>
      </c>
      <c r="AD620" s="125">
        <f>F620*0.738318830590735</f>
        <v>0</v>
      </c>
      <c r="AE620" s="125">
        <f>F620*(1-0.738318830590735)</f>
        <v>0</v>
      </c>
    </row>
    <row r="621" spans="1:31" s="90" customFormat="1" ht="11.25">
      <c r="A621" s="122" t="s">
        <v>485</v>
      </c>
      <c r="B621" s="122" t="s">
        <v>1560</v>
      </c>
      <c r="C621" s="122" t="s">
        <v>2725</v>
      </c>
      <c r="D621" s="122" t="s">
        <v>3455</v>
      </c>
      <c r="E621" s="123">
        <v>79</v>
      </c>
      <c r="F621" s="123">
        <v>0</v>
      </c>
      <c r="G621" s="123">
        <f t="shared" si="192"/>
        <v>0</v>
      </c>
      <c r="H621" s="123">
        <f t="shared" si="193"/>
        <v>0</v>
      </c>
      <c r="I621" s="123">
        <f t="shared" si="194"/>
        <v>0</v>
      </c>
      <c r="J621" s="123">
        <v>0.00203</v>
      </c>
      <c r="K621" s="123">
        <f t="shared" si="195"/>
        <v>0.16037</v>
      </c>
      <c r="M621" s="124" t="s">
        <v>7</v>
      </c>
      <c r="N621" s="123">
        <f t="shared" si="196"/>
        <v>0</v>
      </c>
      <c r="Y621" s="123">
        <f t="shared" si="197"/>
        <v>0</v>
      </c>
      <c r="Z621" s="123">
        <f t="shared" si="198"/>
        <v>0</v>
      </c>
      <c r="AA621" s="123">
        <f t="shared" si="199"/>
        <v>0</v>
      </c>
      <c r="AC621" s="125">
        <v>20</v>
      </c>
      <c r="AD621" s="125">
        <f>F621*0.790961229639826</f>
        <v>0</v>
      </c>
      <c r="AE621" s="125">
        <f>F621*(1-0.790961229639826)</f>
        <v>0</v>
      </c>
    </row>
    <row r="622" spans="1:31" s="90" customFormat="1" ht="11.25">
      <c r="A622" s="122" t="s">
        <v>486</v>
      </c>
      <c r="B622" s="122" t="s">
        <v>1561</v>
      </c>
      <c r="C622" s="122" t="s">
        <v>2726</v>
      </c>
      <c r="D622" s="122" t="s">
        <v>3456</v>
      </c>
      <c r="E622" s="123">
        <v>12</v>
      </c>
      <c r="F622" s="123">
        <v>0</v>
      </c>
      <c r="G622" s="123">
        <f t="shared" si="192"/>
        <v>0</v>
      </c>
      <c r="H622" s="123">
        <f t="shared" si="193"/>
        <v>0</v>
      </c>
      <c r="I622" s="123">
        <f t="shared" si="194"/>
        <v>0</v>
      </c>
      <c r="J622" s="123">
        <v>0.00046</v>
      </c>
      <c r="K622" s="123">
        <f t="shared" si="195"/>
        <v>0.005520000000000001</v>
      </c>
      <c r="M622" s="124" t="s">
        <v>7</v>
      </c>
      <c r="N622" s="123">
        <f t="shared" si="196"/>
        <v>0</v>
      </c>
      <c r="Y622" s="123">
        <f t="shared" si="197"/>
        <v>0</v>
      </c>
      <c r="Z622" s="123">
        <f t="shared" si="198"/>
        <v>0</v>
      </c>
      <c r="AA622" s="123">
        <f t="shared" si="199"/>
        <v>0</v>
      </c>
      <c r="AC622" s="125">
        <v>20</v>
      </c>
      <c r="AD622" s="125">
        <f>F622*0.815620686855565</f>
        <v>0</v>
      </c>
      <c r="AE622" s="125">
        <f>F622*(1-0.815620686855565)</f>
        <v>0</v>
      </c>
    </row>
    <row r="623" spans="1:31" s="90" customFormat="1" ht="11.25">
      <c r="A623" s="122" t="s">
        <v>487</v>
      </c>
      <c r="B623" s="122" t="s">
        <v>1562</v>
      </c>
      <c r="C623" s="122" t="s">
        <v>2727</v>
      </c>
      <c r="D623" s="122" t="s">
        <v>3456</v>
      </c>
      <c r="E623" s="123">
        <v>16</v>
      </c>
      <c r="F623" s="123">
        <v>0</v>
      </c>
      <c r="G623" s="123">
        <f t="shared" si="192"/>
        <v>0</v>
      </c>
      <c r="H623" s="123">
        <f t="shared" si="193"/>
        <v>0</v>
      </c>
      <c r="I623" s="123">
        <f t="shared" si="194"/>
        <v>0</v>
      </c>
      <c r="J623" s="123">
        <v>0.00064</v>
      </c>
      <c r="K623" s="123">
        <f t="shared" si="195"/>
        <v>0.01024</v>
      </c>
      <c r="M623" s="124" t="s">
        <v>7</v>
      </c>
      <c r="N623" s="123">
        <f t="shared" si="196"/>
        <v>0</v>
      </c>
      <c r="Y623" s="123">
        <f t="shared" si="197"/>
        <v>0</v>
      </c>
      <c r="Z623" s="123">
        <f t="shared" si="198"/>
        <v>0</v>
      </c>
      <c r="AA623" s="123">
        <f t="shared" si="199"/>
        <v>0</v>
      </c>
      <c r="AC623" s="125">
        <v>20</v>
      </c>
      <c r="AD623" s="125">
        <f>F623*0.905296080066722</f>
        <v>0</v>
      </c>
      <c r="AE623" s="125">
        <f>F623*(1-0.905296080066722)</f>
        <v>0</v>
      </c>
    </row>
    <row r="624" spans="1:31" s="90" customFormat="1" ht="11.25">
      <c r="A624" s="122" t="s">
        <v>488</v>
      </c>
      <c r="B624" s="122" t="s">
        <v>1563</v>
      </c>
      <c r="C624" s="122" t="s">
        <v>2728</v>
      </c>
      <c r="D624" s="122" t="s">
        <v>3460</v>
      </c>
      <c r="E624" s="123">
        <v>4.3499</v>
      </c>
      <c r="F624" s="123">
        <v>0</v>
      </c>
      <c r="G624" s="123">
        <f t="shared" si="192"/>
        <v>0</v>
      </c>
      <c r="H624" s="123">
        <f t="shared" si="193"/>
        <v>0</v>
      </c>
      <c r="I624" s="123">
        <f t="shared" si="194"/>
        <v>0</v>
      </c>
      <c r="J624" s="123">
        <v>0</v>
      </c>
      <c r="K624" s="123">
        <f t="shared" si="195"/>
        <v>0</v>
      </c>
      <c r="M624" s="124" t="s">
        <v>11</v>
      </c>
      <c r="N624" s="123">
        <f t="shared" si="196"/>
        <v>0</v>
      </c>
      <c r="Y624" s="123">
        <f t="shared" si="197"/>
        <v>0</v>
      </c>
      <c r="Z624" s="123">
        <f t="shared" si="198"/>
        <v>0</v>
      </c>
      <c r="AA624" s="123">
        <f t="shared" si="199"/>
        <v>0</v>
      </c>
      <c r="AC624" s="125">
        <v>20</v>
      </c>
      <c r="AD624" s="125">
        <f>F624*0</f>
        <v>0</v>
      </c>
      <c r="AE624" s="125">
        <f>F624*(1-0)</f>
        <v>0</v>
      </c>
    </row>
    <row r="625" spans="1:36" s="90" customFormat="1" ht="11.25">
      <c r="A625" s="127"/>
      <c r="B625" s="128" t="s">
        <v>771</v>
      </c>
      <c r="C625" s="129" t="s">
        <v>2729</v>
      </c>
      <c r="D625" s="130"/>
      <c r="E625" s="130"/>
      <c r="F625" s="130"/>
      <c r="G625" s="121">
        <f>SUM(G626:G635)</f>
        <v>0</v>
      </c>
      <c r="H625" s="121">
        <f>SUM(H626:H635)</f>
        <v>0</v>
      </c>
      <c r="I625" s="121">
        <f>G625+H625</f>
        <v>0</v>
      </c>
      <c r="J625" s="114"/>
      <c r="K625" s="121">
        <f>SUM(K626:K635)</f>
        <v>6.4272899</v>
      </c>
      <c r="O625" s="121">
        <f>IF(P625="PR",I625,SUM(N626:N635))</f>
        <v>0</v>
      </c>
      <c r="P625" s="114" t="s">
        <v>3490</v>
      </c>
      <c r="Q625" s="121">
        <f>IF(P625="HS",G625,0)</f>
        <v>0</v>
      </c>
      <c r="R625" s="121">
        <f>IF(P625="HS",H625-O625,0)</f>
        <v>0</v>
      </c>
      <c r="S625" s="121">
        <f>IF(P625="PS",G625,0)</f>
        <v>0</v>
      </c>
      <c r="T625" s="121">
        <f>IF(P625="PS",H625-O625,0)</f>
        <v>0</v>
      </c>
      <c r="U625" s="121">
        <f>IF(P625="MP",G625,0)</f>
        <v>0</v>
      </c>
      <c r="V625" s="121">
        <f>IF(P625="MP",H625-O625,0)</f>
        <v>0</v>
      </c>
      <c r="W625" s="121">
        <f>IF(P625="OM",G625,0)</f>
        <v>0</v>
      </c>
      <c r="X625" s="114"/>
      <c r="AH625" s="121">
        <f>SUM(Y626:Y635)</f>
        <v>0</v>
      </c>
      <c r="AI625" s="121">
        <f>SUM(Z626:Z635)</f>
        <v>0</v>
      </c>
      <c r="AJ625" s="121">
        <f>SUM(AA626:AA635)</f>
        <v>0</v>
      </c>
    </row>
    <row r="626" spans="1:31" s="90" customFormat="1" ht="11.25">
      <c r="A626" s="122" t="s">
        <v>489</v>
      </c>
      <c r="B626" s="122" t="s">
        <v>1564</v>
      </c>
      <c r="C626" s="122" t="s">
        <v>2730</v>
      </c>
      <c r="D626" s="122" t="s">
        <v>3459</v>
      </c>
      <c r="E626" s="123">
        <v>484.2</v>
      </c>
      <c r="F626" s="123">
        <v>0</v>
      </c>
      <c r="G626" s="123">
        <f>ROUND(E626*AD626,2)</f>
        <v>0</v>
      </c>
      <c r="H626" s="123">
        <f>I626-G626</f>
        <v>0</v>
      </c>
      <c r="I626" s="123">
        <f>ROUND(E626*F626,2)</f>
        <v>0</v>
      </c>
      <c r="J626" s="123">
        <v>0.01297</v>
      </c>
      <c r="K626" s="123">
        <f>E626*J626</f>
        <v>6.280074</v>
      </c>
      <c r="M626" s="124" t="s">
        <v>7</v>
      </c>
      <c r="N626" s="123">
        <f>IF(M626="5",H626,0)</f>
        <v>0</v>
      </c>
      <c r="Y626" s="123">
        <f>IF(AC626=0,I626,0)</f>
        <v>0</v>
      </c>
      <c r="Z626" s="123">
        <f>IF(AC626=14,I626,0)</f>
        <v>0</v>
      </c>
      <c r="AA626" s="123">
        <f>IF(AC626=20,I626,0)</f>
        <v>0</v>
      </c>
      <c r="AC626" s="125">
        <v>20</v>
      </c>
      <c r="AD626" s="125">
        <f>F626*0.668281938325991</f>
        <v>0</v>
      </c>
      <c r="AE626" s="125">
        <f>F626*(1-0.668281938325991)</f>
        <v>0</v>
      </c>
    </row>
    <row r="627" spans="1:31" s="90" customFormat="1" ht="11.25">
      <c r="A627" s="122" t="s">
        <v>490</v>
      </c>
      <c r="B627" s="122" t="s">
        <v>1565</v>
      </c>
      <c r="C627" s="122" t="s">
        <v>2731</v>
      </c>
      <c r="D627" s="122" t="s">
        <v>3456</v>
      </c>
      <c r="E627" s="123">
        <v>112</v>
      </c>
      <c r="F627" s="123">
        <v>0</v>
      </c>
      <c r="G627" s="123">
        <f>ROUND(E627*AD627,2)</f>
        <v>0</v>
      </c>
      <c r="H627" s="123">
        <f>I627-G627</f>
        <v>0</v>
      </c>
      <c r="I627" s="123">
        <f>ROUND(E627*F627,2)</f>
        <v>0</v>
      </c>
      <c r="J627" s="123">
        <v>0.00021</v>
      </c>
      <c r="K627" s="123">
        <f>E627*J627</f>
        <v>0.02352</v>
      </c>
      <c r="M627" s="124" t="s">
        <v>7</v>
      </c>
      <c r="N627" s="123">
        <f>IF(M627="5",H627,0)</f>
        <v>0</v>
      </c>
      <c r="Y627" s="123">
        <f>IF(AC627=0,I627,0)</f>
        <v>0</v>
      </c>
      <c r="Z627" s="123">
        <f>IF(AC627=14,I627,0)</f>
        <v>0</v>
      </c>
      <c r="AA627" s="123">
        <f>IF(AC627=20,I627,0)</f>
        <v>0</v>
      </c>
      <c r="AC627" s="125">
        <v>20</v>
      </c>
      <c r="AD627" s="125">
        <f>F627*0.769475357710652</f>
        <v>0</v>
      </c>
      <c r="AE627" s="125">
        <f>F627*(1-0.769475357710652)</f>
        <v>0</v>
      </c>
    </row>
    <row r="628" spans="1:31" s="90" customFormat="1" ht="11.25">
      <c r="A628" s="122" t="s">
        <v>491</v>
      </c>
      <c r="B628" s="122" t="s">
        <v>1566</v>
      </c>
      <c r="C628" s="122" t="s">
        <v>2732</v>
      </c>
      <c r="D628" s="122" t="s">
        <v>3456</v>
      </c>
      <c r="E628" s="123">
        <v>7</v>
      </c>
      <c r="F628" s="123">
        <v>0</v>
      </c>
      <c r="G628" s="123">
        <f>ROUND(E628*AD628,2)</f>
        <v>0</v>
      </c>
      <c r="H628" s="123">
        <f>I628-G628</f>
        <v>0</v>
      </c>
      <c r="I628" s="123">
        <f>ROUND(E628*F628,2)</f>
        <v>0</v>
      </c>
      <c r="J628" s="123">
        <v>0.00121</v>
      </c>
      <c r="K628" s="123">
        <f>E628*J628</f>
        <v>0.00847</v>
      </c>
      <c r="M628" s="124" t="s">
        <v>7</v>
      </c>
      <c r="N628" s="123">
        <f>IF(M628="5",H628,0)</f>
        <v>0</v>
      </c>
      <c r="Y628" s="123">
        <f>IF(AC628=0,I628,0)</f>
        <v>0</v>
      </c>
      <c r="Z628" s="123">
        <f>IF(AC628=14,I628,0)</f>
        <v>0</v>
      </c>
      <c r="AA628" s="123">
        <f>IF(AC628=20,I628,0)</f>
        <v>0</v>
      </c>
      <c r="AC628" s="125">
        <v>20</v>
      </c>
      <c r="AD628" s="125">
        <f>F628*0.988364784079815</f>
        <v>0</v>
      </c>
      <c r="AE628" s="125">
        <f>F628*(1-0.988364784079815)</f>
        <v>0</v>
      </c>
    </row>
    <row r="629" s="90" customFormat="1" ht="11.25">
      <c r="C629" s="126" t="s">
        <v>2733</v>
      </c>
    </row>
    <row r="630" spans="1:31" s="90" customFormat="1" ht="11.25">
      <c r="A630" s="122" t="s">
        <v>492</v>
      </c>
      <c r="B630" s="122" t="s">
        <v>1567</v>
      </c>
      <c r="C630" s="122" t="s">
        <v>2734</v>
      </c>
      <c r="D630" s="122" t="s">
        <v>3456</v>
      </c>
      <c r="E630" s="123">
        <v>1</v>
      </c>
      <c r="F630" s="123">
        <v>0</v>
      </c>
      <c r="G630" s="123">
        <f>ROUND(E630*AD630,2)</f>
        <v>0</v>
      </c>
      <c r="H630" s="123">
        <f>I630-G630</f>
        <v>0</v>
      </c>
      <c r="I630" s="123">
        <f>ROUND(E630*F630,2)</f>
        <v>0</v>
      </c>
      <c r="J630" s="123">
        <v>0.00071</v>
      </c>
      <c r="K630" s="123">
        <f>E630*J630</f>
        <v>0.00071</v>
      </c>
      <c r="M630" s="124" t="s">
        <v>7</v>
      </c>
      <c r="N630" s="123">
        <f>IF(M630="5",H630,0)</f>
        <v>0</v>
      </c>
      <c r="Y630" s="123">
        <f>IF(AC630=0,I630,0)</f>
        <v>0</v>
      </c>
      <c r="Z630" s="123">
        <f>IF(AC630=14,I630,0)</f>
        <v>0</v>
      </c>
      <c r="AA630" s="123">
        <f>IF(AC630=20,I630,0)</f>
        <v>0</v>
      </c>
      <c r="AC630" s="125">
        <v>20</v>
      </c>
      <c r="AD630" s="125">
        <f>F630*0.989002654531665</f>
        <v>0</v>
      </c>
      <c r="AE630" s="125">
        <f>F630*(1-0.989002654531665)</f>
        <v>0</v>
      </c>
    </row>
    <row r="631" spans="1:31" s="90" customFormat="1" ht="11.25">
      <c r="A631" s="122" t="s">
        <v>493</v>
      </c>
      <c r="B631" s="122" t="s">
        <v>1568</v>
      </c>
      <c r="C631" s="122" t="s">
        <v>2735</v>
      </c>
      <c r="D631" s="122" t="s">
        <v>3456</v>
      </c>
      <c r="E631" s="123">
        <v>2</v>
      </c>
      <c r="F631" s="123">
        <v>0</v>
      </c>
      <c r="G631" s="123">
        <f>ROUND(E631*AD631,2)</f>
        <v>0</v>
      </c>
      <c r="H631" s="123">
        <f>I631-G631</f>
        <v>0</v>
      </c>
      <c r="I631" s="123">
        <f>ROUND(E631*F631,2)</f>
        <v>0</v>
      </c>
      <c r="J631" s="123">
        <v>0.00663</v>
      </c>
      <c r="K631" s="123">
        <f>E631*J631</f>
        <v>0.01326</v>
      </c>
      <c r="M631" s="124" t="s">
        <v>7</v>
      </c>
      <c r="N631" s="123">
        <f>IF(M631="5",H631,0)</f>
        <v>0</v>
      </c>
      <c r="Y631" s="123">
        <f>IF(AC631=0,I631,0)</f>
        <v>0</v>
      </c>
      <c r="Z631" s="123">
        <f>IF(AC631=14,I631,0)</f>
        <v>0</v>
      </c>
      <c r="AA631" s="123">
        <f>IF(AC631=20,I631,0)</f>
        <v>0</v>
      </c>
      <c r="AC631" s="125">
        <v>20</v>
      </c>
      <c r="AD631" s="125">
        <f>F631*0.959332572008628</f>
        <v>0</v>
      </c>
      <c r="AE631" s="125">
        <f>F631*(1-0.959332572008628)</f>
        <v>0</v>
      </c>
    </row>
    <row r="632" spans="1:31" s="90" customFormat="1" ht="11.25">
      <c r="A632" s="122" t="s">
        <v>494</v>
      </c>
      <c r="B632" s="122" t="s">
        <v>1569</v>
      </c>
      <c r="C632" s="122" t="s">
        <v>2736</v>
      </c>
      <c r="D632" s="122" t="s">
        <v>3459</v>
      </c>
      <c r="E632" s="123">
        <v>469.2</v>
      </c>
      <c r="F632" s="123">
        <v>0</v>
      </c>
      <c r="G632" s="123">
        <f>ROUND(E632*AD632,2)</f>
        <v>0</v>
      </c>
      <c r="H632" s="123">
        <f>I632-G632</f>
        <v>0</v>
      </c>
      <c r="I632" s="123">
        <f>ROUND(E632*F632,2)</f>
        <v>0</v>
      </c>
      <c r="J632" s="123">
        <v>0.00016</v>
      </c>
      <c r="K632" s="123">
        <f>E632*J632</f>
        <v>0.075072</v>
      </c>
      <c r="M632" s="124" t="s">
        <v>7</v>
      </c>
      <c r="N632" s="123">
        <f>IF(M632="5",H632,0)</f>
        <v>0</v>
      </c>
      <c r="Y632" s="123">
        <f>IF(AC632=0,I632,0)</f>
        <v>0</v>
      </c>
      <c r="Z632" s="123">
        <f>IF(AC632=14,I632,0)</f>
        <v>0</v>
      </c>
      <c r="AA632" s="123">
        <f>IF(AC632=20,I632,0)</f>
        <v>0</v>
      </c>
      <c r="AC632" s="125">
        <v>20</v>
      </c>
      <c r="AD632" s="125">
        <f>F632*0.426615798922801</f>
        <v>0</v>
      </c>
      <c r="AE632" s="125">
        <f>F632*(1-0.426615798922801)</f>
        <v>0</v>
      </c>
    </row>
    <row r="633" s="90" customFormat="1" ht="11.25">
      <c r="C633" s="126" t="s">
        <v>2737</v>
      </c>
    </row>
    <row r="634" spans="1:31" s="90" customFormat="1" ht="11.25">
      <c r="A634" s="122" t="s">
        <v>495</v>
      </c>
      <c r="B634" s="122" t="s">
        <v>1570</v>
      </c>
      <c r="C634" s="122" t="s">
        <v>2738</v>
      </c>
      <c r="D634" s="122" t="s">
        <v>3459</v>
      </c>
      <c r="E634" s="123">
        <v>137.81</v>
      </c>
      <c r="F634" s="123">
        <v>0</v>
      </c>
      <c r="G634" s="123">
        <f>ROUND(E634*AD634,2)</f>
        <v>0</v>
      </c>
      <c r="H634" s="123">
        <f>I634-G634</f>
        <v>0</v>
      </c>
      <c r="I634" s="123">
        <f>ROUND(E634*F634,2)</f>
        <v>0</v>
      </c>
      <c r="J634" s="123">
        <v>0.00019</v>
      </c>
      <c r="K634" s="123">
        <f>E634*J634</f>
        <v>0.026183900000000003</v>
      </c>
      <c r="M634" s="124" t="s">
        <v>7</v>
      </c>
      <c r="N634" s="123">
        <f>IF(M634="5",H634,0)</f>
        <v>0</v>
      </c>
      <c r="Y634" s="123">
        <f>IF(AC634=0,I634,0)</f>
        <v>0</v>
      </c>
      <c r="Z634" s="123">
        <f>IF(AC634=14,I634,0)</f>
        <v>0</v>
      </c>
      <c r="AA634" s="123">
        <f>IF(AC634=20,I634,0)</f>
        <v>0</v>
      </c>
      <c r="AC634" s="125">
        <v>20</v>
      </c>
      <c r="AD634" s="125">
        <f>F634*0.66998191681736</f>
        <v>0</v>
      </c>
      <c r="AE634" s="125">
        <f>F634*(1-0.66998191681736)</f>
        <v>0</v>
      </c>
    </row>
    <row r="635" spans="1:31" s="90" customFormat="1" ht="11.25">
      <c r="A635" s="122" t="s">
        <v>496</v>
      </c>
      <c r="B635" s="122" t="s">
        <v>1571</v>
      </c>
      <c r="C635" s="122" t="s">
        <v>2739</v>
      </c>
      <c r="D635" s="122" t="s">
        <v>3460</v>
      </c>
      <c r="E635" s="123">
        <v>6.42729</v>
      </c>
      <c r="F635" s="123">
        <v>0</v>
      </c>
      <c r="G635" s="123">
        <f>ROUND(E635*AD635,2)</f>
        <v>0</v>
      </c>
      <c r="H635" s="123">
        <f>I635-G635</f>
        <v>0</v>
      </c>
      <c r="I635" s="123">
        <f>ROUND(E635*F635,2)</f>
        <v>0</v>
      </c>
      <c r="J635" s="123">
        <v>0</v>
      </c>
      <c r="K635" s="123">
        <f>E635*J635</f>
        <v>0</v>
      </c>
      <c r="M635" s="124" t="s">
        <v>11</v>
      </c>
      <c r="N635" s="123">
        <f>IF(M635="5",H635,0)</f>
        <v>0</v>
      </c>
      <c r="Y635" s="123">
        <f>IF(AC635=0,I635,0)</f>
        <v>0</v>
      </c>
      <c r="Z635" s="123">
        <f>IF(AC635=14,I635,0)</f>
        <v>0</v>
      </c>
      <c r="AA635" s="123">
        <f>IF(AC635=20,I635,0)</f>
        <v>0</v>
      </c>
      <c r="AC635" s="125">
        <v>20</v>
      </c>
      <c r="AD635" s="125">
        <f>F635*0</f>
        <v>0</v>
      </c>
      <c r="AE635" s="125">
        <f>F635*(1-0)</f>
        <v>0</v>
      </c>
    </row>
    <row r="636" spans="1:36" s="90" customFormat="1" ht="11.25">
      <c r="A636" s="127"/>
      <c r="B636" s="128" t="s">
        <v>772</v>
      </c>
      <c r="C636" s="129" t="s">
        <v>2740</v>
      </c>
      <c r="D636" s="130"/>
      <c r="E636" s="130"/>
      <c r="F636" s="130"/>
      <c r="G636" s="121">
        <f>SUM(G637:G679)</f>
        <v>0</v>
      </c>
      <c r="H636" s="121">
        <f>SUM(H637:H679)</f>
        <v>0</v>
      </c>
      <c r="I636" s="121">
        <f>G636+H636</f>
        <v>0</v>
      </c>
      <c r="J636" s="114"/>
      <c r="K636" s="121">
        <f>SUM(K637:K679)</f>
        <v>5.0452768</v>
      </c>
      <c r="O636" s="121">
        <f>IF(P636="PR",I636,SUM(N637:N679))</f>
        <v>0</v>
      </c>
      <c r="P636" s="114" t="s">
        <v>3490</v>
      </c>
      <c r="Q636" s="121">
        <f>IF(P636="HS",G636,0)</f>
        <v>0</v>
      </c>
      <c r="R636" s="121">
        <f>IF(P636="HS",H636-O636,0)</f>
        <v>0</v>
      </c>
      <c r="S636" s="121">
        <f>IF(P636="PS",G636,0)</f>
        <v>0</v>
      </c>
      <c r="T636" s="121">
        <f>IF(P636="PS",H636-O636,0)</f>
        <v>0</v>
      </c>
      <c r="U636" s="121">
        <f>IF(P636="MP",G636,0)</f>
        <v>0</v>
      </c>
      <c r="V636" s="121">
        <f>IF(P636="MP",H636-O636,0)</f>
        <v>0</v>
      </c>
      <c r="W636" s="121">
        <f>IF(P636="OM",G636,0)</f>
        <v>0</v>
      </c>
      <c r="X636" s="114"/>
      <c r="AH636" s="121">
        <f>SUM(Y637:Y679)</f>
        <v>0</v>
      </c>
      <c r="AI636" s="121">
        <f>SUM(Z637:Z679)</f>
        <v>0</v>
      </c>
      <c r="AJ636" s="121">
        <f>SUM(AA637:AA679)</f>
        <v>0</v>
      </c>
    </row>
    <row r="637" spans="1:31" s="90" customFormat="1" ht="11.25">
      <c r="A637" s="131" t="s">
        <v>497</v>
      </c>
      <c r="B637" s="131" t="s">
        <v>1572</v>
      </c>
      <c r="C637" s="131" t="s">
        <v>2741</v>
      </c>
      <c r="D637" s="131" t="s">
        <v>3458</v>
      </c>
      <c r="E637" s="132">
        <v>0.86</v>
      </c>
      <c r="F637" s="132">
        <v>0</v>
      </c>
      <c r="G637" s="132">
        <f aca="true" t="shared" si="200" ref="G637:G662">ROUND(E637*AD637,2)</f>
        <v>0</v>
      </c>
      <c r="H637" s="132">
        <f aca="true" t="shared" si="201" ref="H637:H662">I637-G637</f>
        <v>0</v>
      </c>
      <c r="I637" s="132">
        <f aca="true" t="shared" si="202" ref="I637:I662">ROUND(E637*F637,2)</f>
        <v>0</v>
      </c>
      <c r="J637" s="132">
        <v>0.55</v>
      </c>
      <c r="K637" s="132">
        <f aca="true" t="shared" si="203" ref="K637:K662">E637*J637</f>
        <v>0.47300000000000003</v>
      </c>
      <c r="M637" s="133" t="s">
        <v>1101</v>
      </c>
      <c r="N637" s="132">
        <f aca="true" t="shared" si="204" ref="N637:N662">IF(M637="5",H637,0)</f>
        <v>0</v>
      </c>
      <c r="Y637" s="132">
        <f aca="true" t="shared" si="205" ref="Y637:Y662">IF(AC637=0,I637,0)</f>
        <v>0</v>
      </c>
      <c r="Z637" s="132">
        <f aca="true" t="shared" si="206" ref="Z637:Z662">IF(AC637=14,I637,0)</f>
        <v>0</v>
      </c>
      <c r="AA637" s="132">
        <f aca="true" t="shared" si="207" ref="AA637:AA662">IF(AC637=20,I637,0)</f>
        <v>0</v>
      </c>
      <c r="AC637" s="125">
        <v>20</v>
      </c>
      <c r="AD637" s="125">
        <f aca="true" t="shared" si="208" ref="AD637:AD659">F637*1</f>
        <v>0</v>
      </c>
      <c r="AE637" s="125">
        <f aca="true" t="shared" si="209" ref="AE637:AE659">F637*(1-1)</f>
        <v>0</v>
      </c>
    </row>
    <row r="638" spans="1:31" s="90" customFormat="1" ht="11.25">
      <c r="A638" s="131" t="s">
        <v>498</v>
      </c>
      <c r="B638" s="131" t="s">
        <v>1573</v>
      </c>
      <c r="C638" s="131" t="s">
        <v>2742</v>
      </c>
      <c r="D638" s="131" t="s">
        <v>3456</v>
      </c>
      <c r="E638" s="132">
        <v>2</v>
      </c>
      <c r="F638" s="132">
        <v>0</v>
      </c>
      <c r="G638" s="132">
        <f t="shared" si="200"/>
        <v>0</v>
      </c>
      <c r="H638" s="132">
        <f t="shared" si="201"/>
        <v>0</v>
      </c>
      <c r="I638" s="132">
        <f t="shared" si="202"/>
        <v>0</v>
      </c>
      <c r="J638" s="132">
        <v>0.0071</v>
      </c>
      <c r="K638" s="132">
        <f t="shared" si="203"/>
        <v>0.0142</v>
      </c>
      <c r="M638" s="133" t="s">
        <v>1101</v>
      </c>
      <c r="N638" s="132">
        <f t="shared" si="204"/>
        <v>0</v>
      </c>
      <c r="Y638" s="132">
        <f t="shared" si="205"/>
        <v>0</v>
      </c>
      <c r="Z638" s="132">
        <f t="shared" si="206"/>
        <v>0</v>
      </c>
      <c r="AA638" s="132">
        <f t="shared" si="207"/>
        <v>0</v>
      </c>
      <c r="AC638" s="125">
        <v>20</v>
      </c>
      <c r="AD638" s="125">
        <f t="shared" si="208"/>
        <v>0</v>
      </c>
      <c r="AE638" s="125">
        <f t="shared" si="209"/>
        <v>0</v>
      </c>
    </row>
    <row r="639" spans="1:31" s="90" customFormat="1" ht="11.25">
      <c r="A639" s="131" t="s">
        <v>499</v>
      </c>
      <c r="B639" s="131" t="s">
        <v>1573</v>
      </c>
      <c r="C639" s="131" t="s">
        <v>2743</v>
      </c>
      <c r="D639" s="131" t="s">
        <v>3456</v>
      </c>
      <c r="E639" s="132">
        <v>2</v>
      </c>
      <c r="F639" s="132">
        <v>0</v>
      </c>
      <c r="G639" s="132">
        <f t="shared" si="200"/>
        <v>0</v>
      </c>
      <c r="H639" s="132">
        <f t="shared" si="201"/>
        <v>0</v>
      </c>
      <c r="I639" s="132">
        <f t="shared" si="202"/>
        <v>0</v>
      </c>
      <c r="J639" s="132">
        <v>0.0071</v>
      </c>
      <c r="K639" s="132">
        <f t="shared" si="203"/>
        <v>0.0142</v>
      </c>
      <c r="M639" s="133" t="s">
        <v>1101</v>
      </c>
      <c r="N639" s="132">
        <f t="shared" si="204"/>
        <v>0</v>
      </c>
      <c r="Y639" s="132">
        <f t="shared" si="205"/>
        <v>0</v>
      </c>
      <c r="Z639" s="132">
        <f t="shared" si="206"/>
        <v>0</v>
      </c>
      <c r="AA639" s="132">
        <f t="shared" si="207"/>
        <v>0</v>
      </c>
      <c r="AC639" s="125">
        <v>20</v>
      </c>
      <c r="AD639" s="125">
        <f t="shared" si="208"/>
        <v>0</v>
      </c>
      <c r="AE639" s="125">
        <f t="shared" si="209"/>
        <v>0</v>
      </c>
    </row>
    <row r="640" spans="1:31" s="90" customFormat="1" ht="11.25">
      <c r="A640" s="131" t="s">
        <v>500</v>
      </c>
      <c r="B640" s="131" t="s">
        <v>1574</v>
      </c>
      <c r="C640" s="131" t="s">
        <v>2744</v>
      </c>
      <c r="D640" s="131" t="s">
        <v>3456</v>
      </c>
      <c r="E640" s="132">
        <v>1</v>
      </c>
      <c r="F640" s="132">
        <v>0</v>
      </c>
      <c r="G640" s="132">
        <f t="shared" si="200"/>
        <v>0</v>
      </c>
      <c r="H640" s="132">
        <f t="shared" si="201"/>
        <v>0</v>
      </c>
      <c r="I640" s="132">
        <f t="shared" si="202"/>
        <v>0</v>
      </c>
      <c r="J640" s="132">
        <v>0.0108</v>
      </c>
      <c r="K640" s="132">
        <f t="shared" si="203"/>
        <v>0.0108</v>
      </c>
      <c r="M640" s="133" t="s">
        <v>1101</v>
      </c>
      <c r="N640" s="132">
        <f t="shared" si="204"/>
        <v>0</v>
      </c>
      <c r="Y640" s="132">
        <f t="shared" si="205"/>
        <v>0</v>
      </c>
      <c r="Z640" s="132">
        <f t="shared" si="206"/>
        <v>0</v>
      </c>
      <c r="AA640" s="132">
        <f t="shared" si="207"/>
        <v>0</v>
      </c>
      <c r="AC640" s="125">
        <v>20</v>
      </c>
      <c r="AD640" s="125">
        <f t="shared" si="208"/>
        <v>0</v>
      </c>
      <c r="AE640" s="125">
        <f t="shared" si="209"/>
        <v>0</v>
      </c>
    </row>
    <row r="641" spans="1:31" s="90" customFormat="1" ht="11.25">
      <c r="A641" s="131" t="s">
        <v>501</v>
      </c>
      <c r="B641" s="131" t="s">
        <v>1575</v>
      </c>
      <c r="C641" s="131" t="s">
        <v>2745</v>
      </c>
      <c r="D641" s="131" t="s">
        <v>3456</v>
      </c>
      <c r="E641" s="132">
        <v>3</v>
      </c>
      <c r="F641" s="132">
        <v>0</v>
      </c>
      <c r="G641" s="132">
        <f t="shared" si="200"/>
        <v>0</v>
      </c>
      <c r="H641" s="132">
        <f t="shared" si="201"/>
        <v>0</v>
      </c>
      <c r="I641" s="132">
        <f t="shared" si="202"/>
        <v>0</v>
      </c>
      <c r="J641" s="132">
        <v>0.0109</v>
      </c>
      <c r="K641" s="132">
        <f t="shared" si="203"/>
        <v>0.0327</v>
      </c>
      <c r="M641" s="133" t="s">
        <v>1101</v>
      </c>
      <c r="N641" s="132">
        <f t="shared" si="204"/>
        <v>0</v>
      </c>
      <c r="Y641" s="132">
        <f t="shared" si="205"/>
        <v>0</v>
      </c>
      <c r="Z641" s="132">
        <f t="shared" si="206"/>
        <v>0</v>
      </c>
      <c r="AA641" s="132">
        <f t="shared" si="207"/>
        <v>0</v>
      </c>
      <c r="AC641" s="125">
        <v>20</v>
      </c>
      <c r="AD641" s="125">
        <f t="shared" si="208"/>
        <v>0</v>
      </c>
      <c r="AE641" s="125">
        <f t="shared" si="209"/>
        <v>0</v>
      </c>
    </row>
    <row r="642" spans="1:31" s="90" customFormat="1" ht="11.25">
      <c r="A642" s="131" t="s">
        <v>502</v>
      </c>
      <c r="B642" s="131" t="s">
        <v>1576</v>
      </c>
      <c r="C642" s="131" t="s">
        <v>2746</v>
      </c>
      <c r="D642" s="131" t="s">
        <v>3456</v>
      </c>
      <c r="E642" s="132">
        <v>4</v>
      </c>
      <c r="F642" s="132">
        <v>0</v>
      </c>
      <c r="G642" s="132">
        <f t="shared" si="200"/>
        <v>0</v>
      </c>
      <c r="H642" s="132">
        <f t="shared" si="201"/>
        <v>0</v>
      </c>
      <c r="I642" s="132">
        <f t="shared" si="202"/>
        <v>0</v>
      </c>
      <c r="J642" s="132">
        <v>0.013</v>
      </c>
      <c r="K642" s="132">
        <f t="shared" si="203"/>
        <v>0.052</v>
      </c>
      <c r="M642" s="133" t="s">
        <v>1101</v>
      </c>
      <c r="N642" s="132">
        <f t="shared" si="204"/>
        <v>0</v>
      </c>
      <c r="Y642" s="132">
        <f t="shared" si="205"/>
        <v>0</v>
      </c>
      <c r="Z642" s="132">
        <f t="shared" si="206"/>
        <v>0</v>
      </c>
      <c r="AA642" s="132">
        <f t="shared" si="207"/>
        <v>0</v>
      </c>
      <c r="AC642" s="125">
        <v>20</v>
      </c>
      <c r="AD642" s="125">
        <f t="shared" si="208"/>
        <v>0</v>
      </c>
      <c r="AE642" s="125">
        <f t="shared" si="209"/>
        <v>0</v>
      </c>
    </row>
    <row r="643" spans="1:31" s="90" customFormat="1" ht="11.25">
      <c r="A643" s="131" t="s">
        <v>503</v>
      </c>
      <c r="B643" s="131" t="s">
        <v>1577</v>
      </c>
      <c r="C643" s="131" t="s">
        <v>2747</v>
      </c>
      <c r="D643" s="131" t="s">
        <v>3456</v>
      </c>
      <c r="E643" s="132">
        <v>1</v>
      </c>
      <c r="F643" s="132">
        <v>0</v>
      </c>
      <c r="G643" s="132">
        <f t="shared" si="200"/>
        <v>0</v>
      </c>
      <c r="H643" s="132">
        <f t="shared" si="201"/>
        <v>0</v>
      </c>
      <c r="I643" s="132">
        <f t="shared" si="202"/>
        <v>0</v>
      </c>
      <c r="J643" s="132">
        <v>0.015</v>
      </c>
      <c r="K643" s="132">
        <f t="shared" si="203"/>
        <v>0.015</v>
      </c>
      <c r="M643" s="133" t="s">
        <v>1101</v>
      </c>
      <c r="N643" s="132">
        <f t="shared" si="204"/>
        <v>0</v>
      </c>
      <c r="Y643" s="132">
        <f t="shared" si="205"/>
        <v>0</v>
      </c>
      <c r="Z643" s="132">
        <f t="shared" si="206"/>
        <v>0</v>
      </c>
      <c r="AA643" s="132">
        <f t="shared" si="207"/>
        <v>0</v>
      </c>
      <c r="AC643" s="125">
        <v>20</v>
      </c>
      <c r="AD643" s="125">
        <f t="shared" si="208"/>
        <v>0</v>
      </c>
      <c r="AE643" s="125">
        <f t="shared" si="209"/>
        <v>0</v>
      </c>
    </row>
    <row r="644" spans="1:31" s="90" customFormat="1" ht="11.25">
      <c r="A644" s="131" t="s">
        <v>504</v>
      </c>
      <c r="B644" s="131" t="s">
        <v>1578</v>
      </c>
      <c r="C644" s="131" t="s">
        <v>2748</v>
      </c>
      <c r="D644" s="131" t="s">
        <v>3456</v>
      </c>
      <c r="E644" s="132">
        <v>1</v>
      </c>
      <c r="F644" s="132">
        <v>0</v>
      </c>
      <c r="G644" s="132">
        <f t="shared" si="200"/>
        <v>0</v>
      </c>
      <c r="H644" s="132">
        <f t="shared" si="201"/>
        <v>0</v>
      </c>
      <c r="I644" s="132">
        <f t="shared" si="202"/>
        <v>0</v>
      </c>
      <c r="J644" s="132">
        <v>0.014</v>
      </c>
      <c r="K644" s="132">
        <f t="shared" si="203"/>
        <v>0.014</v>
      </c>
      <c r="M644" s="133" t="s">
        <v>1101</v>
      </c>
      <c r="N644" s="132">
        <f t="shared" si="204"/>
        <v>0</v>
      </c>
      <c r="Y644" s="132">
        <f t="shared" si="205"/>
        <v>0</v>
      </c>
      <c r="Z644" s="132">
        <f t="shared" si="206"/>
        <v>0</v>
      </c>
      <c r="AA644" s="132">
        <f t="shared" si="207"/>
        <v>0</v>
      </c>
      <c r="AC644" s="125">
        <v>20</v>
      </c>
      <c r="AD644" s="125">
        <f t="shared" si="208"/>
        <v>0</v>
      </c>
      <c r="AE644" s="125">
        <f t="shared" si="209"/>
        <v>0</v>
      </c>
    </row>
    <row r="645" spans="1:31" s="90" customFormat="1" ht="11.25">
      <c r="A645" s="131" t="s">
        <v>505</v>
      </c>
      <c r="B645" s="131" t="s">
        <v>1579</v>
      </c>
      <c r="C645" s="131" t="s">
        <v>2749</v>
      </c>
      <c r="D645" s="131" t="s">
        <v>3456</v>
      </c>
      <c r="E645" s="132">
        <v>2</v>
      </c>
      <c r="F645" s="132">
        <v>0</v>
      </c>
      <c r="G645" s="132">
        <f t="shared" si="200"/>
        <v>0</v>
      </c>
      <c r="H645" s="132">
        <f t="shared" si="201"/>
        <v>0</v>
      </c>
      <c r="I645" s="132">
        <f t="shared" si="202"/>
        <v>0</v>
      </c>
      <c r="J645" s="132">
        <v>0.023</v>
      </c>
      <c r="K645" s="132">
        <f t="shared" si="203"/>
        <v>0.046</v>
      </c>
      <c r="M645" s="133" t="s">
        <v>1101</v>
      </c>
      <c r="N645" s="132">
        <f t="shared" si="204"/>
        <v>0</v>
      </c>
      <c r="Y645" s="132">
        <f t="shared" si="205"/>
        <v>0</v>
      </c>
      <c r="Z645" s="132">
        <f t="shared" si="206"/>
        <v>0</v>
      </c>
      <c r="AA645" s="132">
        <f t="shared" si="207"/>
        <v>0</v>
      </c>
      <c r="AC645" s="125">
        <v>20</v>
      </c>
      <c r="AD645" s="125">
        <f t="shared" si="208"/>
        <v>0</v>
      </c>
      <c r="AE645" s="125">
        <f t="shared" si="209"/>
        <v>0</v>
      </c>
    </row>
    <row r="646" spans="1:31" s="90" customFormat="1" ht="11.25">
      <c r="A646" s="131" t="s">
        <v>506</v>
      </c>
      <c r="B646" s="131" t="s">
        <v>1580</v>
      </c>
      <c r="C646" s="131" t="s">
        <v>2750</v>
      </c>
      <c r="D646" s="131" t="s">
        <v>3456</v>
      </c>
      <c r="E646" s="132">
        <v>6</v>
      </c>
      <c r="F646" s="132">
        <v>0</v>
      </c>
      <c r="G646" s="132">
        <f t="shared" si="200"/>
        <v>0</v>
      </c>
      <c r="H646" s="132">
        <f t="shared" si="201"/>
        <v>0</v>
      </c>
      <c r="I646" s="132">
        <f t="shared" si="202"/>
        <v>0</v>
      </c>
      <c r="J646" s="132">
        <v>0.026</v>
      </c>
      <c r="K646" s="132">
        <f t="shared" si="203"/>
        <v>0.156</v>
      </c>
      <c r="M646" s="133" t="s">
        <v>1101</v>
      </c>
      <c r="N646" s="132">
        <f t="shared" si="204"/>
        <v>0</v>
      </c>
      <c r="Y646" s="132">
        <f t="shared" si="205"/>
        <v>0</v>
      </c>
      <c r="Z646" s="132">
        <f t="shared" si="206"/>
        <v>0</v>
      </c>
      <c r="AA646" s="132">
        <f t="shared" si="207"/>
        <v>0</v>
      </c>
      <c r="AC646" s="125">
        <v>20</v>
      </c>
      <c r="AD646" s="125">
        <f t="shared" si="208"/>
        <v>0</v>
      </c>
      <c r="AE646" s="125">
        <f t="shared" si="209"/>
        <v>0</v>
      </c>
    </row>
    <row r="647" spans="1:31" s="90" customFormat="1" ht="11.25">
      <c r="A647" s="131" t="s">
        <v>507</v>
      </c>
      <c r="B647" s="131" t="s">
        <v>1581</v>
      </c>
      <c r="C647" s="131" t="s">
        <v>2751</v>
      </c>
      <c r="D647" s="131" t="s">
        <v>3456</v>
      </c>
      <c r="E647" s="132">
        <v>2</v>
      </c>
      <c r="F647" s="132">
        <v>0</v>
      </c>
      <c r="G647" s="132">
        <f t="shared" si="200"/>
        <v>0</v>
      </c>
      <c r="H647" s="132">
        <f t="shared" si="201"/>
        <v>0</v>
      </c>
      <c r="I647" s="132">
        <f t="shared" si="202"/>
        <v>0</v>
      </c>
      <c r="J647" s="132">
        <v>0.028</v>
      </c>
      <c r="K647" s="132">
        <f t="shared" si="203"/>
        <v>0.056</v>
      </c>
      <c r="M647" s="133" t="s">
        <v>1101</v>
      </c>
      <c r="N647" s="132">
        <f t="shared" si="204"/>
        <v>0</v>
      </c>
      <c r="Y647" s="132">
        <f t="shared" si="205"/>
        <v>0</v>
      </c>
      <c r="Z647" s="132">
        <f t="shared" si="206"/>
        <v>0</v>
      </c>
      <c r="AA647" s="132">
        <f t="shared" si="207"/>
        <v>0</v>
      </c>
      <c r="AC647" s="125">
        <v>20</v>
      </c>
      <c r="AD647" s="125">
        <f t="shared" si="208"/>
        <v>0</v>
      </c>
      <c r="AE647" s="125">
        <f t="shared" si="209"/>
        <v>0</v>
      </c>
    </row>
    <row r="648" spans="1:31" s="90" customFormat="1" ht="11.25">
      <c r="A648" s="131" t="s">
        <v>508</v>
      </c>
      <c r="B648" s="131" t="s">
        <v>1582</v>
      </c>
      <c r="C648" s="131" t="s">
        <v>2752</v>
      </c>
      <c r="D648" s="131" t="s">
        <v>3456</v>
      </c>
      <c r="E648" s="132">
        <v>8</v>
      </c>
      <c r="F648" s="132">
        <v>0</v>
      </c>
      <c r="G648" s="132">
        <f t="shared" si="200"/>
        <v>0</v>
      </c>
      <c r="H648" s="132">
        <f t="shared" si="201"/>
        <v>0</v>
      </c>
      <c r="I648" s="132">
        <f t="shared" si="202"/>
        <v>0</v>
      </c>
      <c r="J648" s="132">
        <v>0.018</v>
      </c>
      <c r="K648" s="132">
        <f t="shared" si="203"/>
        <v>0.144</v>
      </c>
      <c r="M648" s="133" t="s">
        <v>1101</v>
      </c>
      <c r="N648" s="132">
        <f t="shared" si="204"/>
        <v>0</v>
      </c>
      <c r="Y648" s="132">
        <f t="shared" si="205"/>
        <v>0</v>
      </c>
      <c r="Z648" s="132">
        <f t="shared" si="206"/>
        <v>0</v>
      </c>
      <c r="AA648" s="132">
        <f t="shared" si="207"/>
        <v>0</v>
      </c>
      <c r="AC648" s="125">
        <v>20</v>
      </c>
      <c r="AD648" s="125">
        <f t="shared" si="208"/>
        <v>0</v>
      </c>
      <c r="AE648" s="125">
        <f t="shared" si="209"/>
        <v>0</v>
      </c>
    </row>
    <row r="649" spans="1:31" s="90" customFormat="1" ht="11.25">
      <c r="A649" s="131" t="s">
        <v>509</v>
      </c>
      <c r="B649" s="131" t="s">
        <v>1583</v>
      </c>
      <c r="C649" s="131" t="s">
        <v>2753</v>
      </c>
      <c r="D649" s="131" t="s">
        <v>3456</v>
      </c>
      <c r="E649" s="132">
        <v>8</v>
      </c>
      <c r="F649" s="132">
        <v>0</v>
      </c>
      <c r="G649" s="132">
        <f t="shared" si="200"/>
        <v>0</v>
      </c>
      <c r="H649" s="132">
        <f t="shared" si="201"/>
        <v>0</v>
      </c>
      <c r="I649" s="132">
        <f t="shared" si="202"/>
        <v>0</v>
      </c>
      <c r="J649" s="132">
        <v>0.0322</v>
      </c>
      <c r="K649" s="132">
        <f t="shared" si="203"/>
        <v>0.2576</v>
      </c>
      <c r="M649" s="133" t="s">
        <v>1101</v>
      </c>
      <c r="N649" s="132">
        <f t="shared" si="204"/>
        <v>0</v>
      </c>
      <c r="Y649" s="132">
        <f t="shared" si="205"/>
        <v>0</v>
      </c>
      <c r="Z649" s="132">
        <f t="shared" si="206"/>
        <v>0</v>
      </c>
      <c r="AA649" s="132">
        <f t="shared" si="207"/>
        <v>0</v>
      </c>
      <c r="AC649" s="125">
        <v>20</v>
      </c>
      <c r="AD649" s="125">
        <f t="shared" si="208"/>
        <v>0</v>
      </c>
      <c r="AE649" s="125">
        <f t="shared" si="209"/>
        <v>0</v>
      </c>
    </row>
    <row r="650" spans="1:31" s="90" customFormat="1" ht="11.25">
      <c r="A650" s="131" t="s">
        <v>510</v>
      </c>
      <c r="B650" s="131" t="s">
        <v>1584</v>
      </c>
      <c r="C650" s="131" t="s">
        <v>2754</v>
      </c>
      <c r="D650" s="131" t="s">
        <v>3456</v>
      </c>
      <c r="E650" s="132">
        <v>1</v>
      </c>
      <c r="F650" s="132">
        <v>0</v>
      </c>
      <c r="G650" s="132">
        <f t="shared" si="200"/>
        <v>0</v>
      </c>
      <c r="H650" s="132">
        <f t="shared" si="201"/>
        <v>0</v>
      </c>
      <c r="I650" s="132">
        <f t="shared" si="202"/>
        <v>0</v>
      </c>
      <c r="J650" s="132">
        <v>0.0329</v>
      </c>
      <c r="K650" s="132">
        <f t="shared" si="203"/>
        <v>0.0329</v>
      </c>
      <c r="M650" s="133" t="s">
        <v>1101</v>
      </c>
      <c r="N650" s="132">
        <f t="shared" si="204"/>
        <v>0</v>
      </c>
      <c r="Y650" s="132">
        <f t="shared" si="205"/>
        <v>0</v>
      </c>
      <c r="Z650" s="132">
        <f t="shared" si="206"/>
        <v>0</v>
      </c>
      <c r="AA650" s="132">
        <f t="shared" si="207"/>
        <v>0</v>
      </c>
      <c r="AC650" s="125">
        <v>20</v>
      </c>
      <c r="AD650" s="125">
        <f t="shared" si="208"/>
        <v>0</v>
      </c>
      <c r="AE650" s="125">
        <f t="shared" si="209"/>
        <v>0</v>
      </c>
    </row>
    <row r="651" spans="1:31" s="90" customFormat="1" ht="11.25">
      <c r="A651" s="131" t="s">
        <v>511</v>
      </c>
      <c r="B651" s="131" t="s">
        <v>1585</v>
      </c>
      <c r="C651" s="131" t="s">
        <v>2755</v>
      </c>
      <c r="D651" s="131" t="s">
        <v>3456</v>
      </c>
      <c r="E651" s="132">
        <v>1</v>
      </c>
      <c r="F651" s="132">
        <v>0</v>
      </c>
      <c r="G651" s="132">
        <f t="shared" si="200"/>
        <v>0</v>
      </c>
      <c r="H651" s="132">
        <f t="shared" si="201"/>
        <v>0</v>
      </c>
      <c r="I651" s="132">
        <f t="shared" si="202"/>
        <v>0</v>
      </c>
      <c r="J651" s="132">
        <v>0.04</v>
      </c>
      <c r="K651" s="132">
        <f t="shared" si="203"/>
        <v>0.04</v>
      </c>
      <c r="M651" s="133" t="s">
        <v>1101</v>
      </c>
      <c r="N651" s="132">
        <f t="shared" si="204"/>
        <v>0</v>
      </c>
      <c r="Y651" s="132">
        <f t="shared" si="205"/>
        <v>0</v>
      </c>
      <c r="Z651" s="132">
        <f t="shared" si="206"/>
        <v>0</v>
      </c>
      <c r="AA651" s="132">
        <f t="shared" si="207"/>
        <v>0</v>
      </c>
      <c r="AC651" s="125">
        <v>20</v>
      </c>
      <c r="AD651" s="125">
        <f t="shared" si="208"/>
        <v>0</v>
      </c>
      <c r="AE651" s="125">
        <f t="shared" si="209"/>
        <v>0</v>
      </c>
    </row>
    <row r="652" spans="1:31" s="90" customFormat="1" ht="11.25">
      <c r="A652" s="131" t="s">
        <v>512</v>
      </c>
      <c r="B652" s="131" t="s">
        <v>1586</v>
      </c>
      <c r="C652" s="131" t="s">
        <v>2756</v>
      </c>
      <c r="D652" s="131" t="s">
        <v>3456</v>
      </c>
      <c r="E652" s="132">
        <v>4</v>
      </c>
      <c r="F652" s="132">
        <v>0</v>
      </c>
      <c r="G652" s="132">
        <f t="shared" si="200"/>
        <v>0</v>
      </c>
      <c r="H652" s="132">
        <f t="shared" si="201"/>
        <v>0</v>
      </c>
      <c r="I652" s="132">
        <f t="shared" si="202"/>
        <v>0</v>
      </c>
      <c r="J652" s="132">
        <v>0.05</v>
      </c>
      <c r="K652" s="132">
        <f t="shared" si="203"/>
        <v>0.2</v>
      </c>
      <c r="M652" s="133" t="s">
        <v>1101</v>
      </c>
      <c r="N652" s="132">
        <f t="shared" si="204"/>
        <v>0</v>
      </c>
      <c r="Y652" s="132">
        <f t="shared" si="205"/>
        <v>0</v>
      </c>
      <c r="Z652" s="132">
        <f t="shared" si="206"/>
        <v>0</v>
      </c>
      <c r="AA652" s="132">
        <f t="shared" si="207"/>
        <v>0</v>
      </c>
      <c r="AC652" s="125">
        <v>20</v>
      </c>
      <c r="AD652" s="125">
        <f t="shared" si="208"/>
        <v>0</v>
      </c>
      <c r="AE652" s="125">
        <f t="shared" si="209"/>
        <v>0</v>
      </c>
    </row>
    <row r="653" spans="1:31" s="90" customFormat="1" ht="11.25">
      <c r="A653" s="131" t="s">
        <v>513</v>
      </c>
      <c r="B653" s="131" t="s">
        <v>1587</v>
      </c>
      <c r="C653" s="131" t="s">
        <v>2757</v>
      </c>
      <c r="D653" s="131" t="s">
        <v>3456</v>
      </c>
      <c r="E653" s="132">
        <v>1</v>
      </c>
      <c r="F653" s="132">
        <v>0</v>
      </c>
      <c r="G653" s="132">
        <f t="shared" si="200"/>
        <v>0</v>
      </c>
      <c r="H653" s="132">
        <f t="shared" si="201"/>
        <v>0</v>
      </c>
      <c r="I653" s="132">
        <f t="shared" si="202"/>
        <v>0</v>
      </c>
      <c r="J653" s="132">
        <v>0.044</v>
      </c>
      <c r="K653" s="132">
        <f t="shared" si="203"/>
        <v>0.044</v>
      </c>
      <c r="M653" s="133" t="s">
        <v>1101</v>
      </c>
      <c r="N653" s="132">
        <f t="shared" si="204"/>
        <v>0</v>
      </c>
      <c r="Y653" s="132">
        <f t="shared" si="205"/>
        <v>0</v>
      </c>
      <c r="Z653" s="132">
        <f t="shared" si="206"/>
        <v>0</v>
      </c>
      <c r="AA653" s="132">
        <f t="shared" si="207"/>
        <v>0</v>
      </c>
      <c r="AC653" s="125">
        <v>20</v>
      </c>
      <c r="AD653" s="125">
        <f t="shared" si="208"/>
        <v>0</v>
      </c>
      <c r="AE653" s="125">
        <f t="shared" si="209"/>
        <v>0</v>
      </c>
    </row>
    <row r="654" spans="1:31" s="90" customFormat="1" ht="11.25">
      <c r="A654" s="131" t="s">
        <v>514</v>
      </c>
      <c r="B654" s="131" t="s">
        <v>1588</v>
      </c>
      <c r="C654" s="131" t="s">
        <v>2758</v>
      </c>
      <c r="D654" s="131" t="s">
        <v>3456</v>
      </c>
      <c r="E654" s="132">
        <v>3</v>
      </c>
      <c r="F654" s="132">
        <v>0</v>
      </c>
      <c r="G654" s="132">
        <f t="shared" si="200"/>
        <v>0</v>
      </c>
      <c r="H654" s="132">
        <f t="shared" si="201"/>
        <v>0</v>
      </c>
      <c r="I654" s="132">
        <f t="shared" si="202"/>
        <v>0</v>
      </c>
      <c r="J654" s="132">
        <v>0.036</v>
      </c>
      <c r="K654" s="132">
        <f t="shared" si="203"/>
        <v>0.10799999999999998</v>
      </c>
      <c r="M654" s="133" t="s">
        <v>1101</v>
      </c>
      <c r="N654" s="132">
        <f t="shared" si="204"/>
        <v>0</v>
      </c>
      <c r="Y654" s="132">
        <f t="shared" si="205"/>
        <v>0</v>
      </c>
      <c r="Z654" s="132">
        <f t="shared" si="206"/>
        <v>0</v>
      </c>
      <c r="AA654" s="132">
        <f t="shared" si="207"/>
        <v>0</v>
      </c>
      <c r="AC654" s="125">
        <v>20</v>
      </c>
      <c r="AD654" s="125">
        <f t="shared" si="208"/>
        <v>0</v>
      </c>
      <c r="AE654" s="125">
        <f t="shared" si="209"/>
        <v>0</v>
      </c>
    </row>
    <row r="655" spans="1:31" s="90" customFormat="1" ht="11.25">
      <c r="A655" s="131" t="s">
        <v>515</v>
      </c>
      <c r="B655" s="131" t="s">
        <v>1589</v>
      </c>
      <c r="C655" s="131" t="s">
        <v>2759</v>
      </c>
      <c r="D655" s="131" t="s">
        <v>3456</v>
      </c>
      <c r="E655" s="132">
        <v>8</v>
      </c>
      <c r="F655" s="132">
        <v>0</v>
      </c>
      <c r="G655" s="132">
        <f t="shared" si="200"/>
        <v>0</v>
      </c>
      <c r="H655" s="132">
        <f t="shared" si="201"/>
        <v>0</v>
      </c>
      <c r="I655" s="132">
        <f t="shared" si="202"/>
        <v>0</v>
      </c>
      <c r="J655" s="132">
        <v>0.044</v>
      </c>
      <c r="K655" s="132">
        <f t="shared" si="203"/>
        <v>0.352</v>
      </c>
      <c r="M655" s="133" t="s">
        <v>1101</v>
      </c>
      <c r="N655" s="132">
        <f t="shared" si="204"/>
        <v>0</v>
      </c>
      <c r="Y655" s="132">
        <f t="shared" si="205"/>
        <v>0</v>
      </c>
      <c r="Z655" s="132">
        <f t="shared" si="206"/>
        <v>0</v>
      </c>
      <c r="AA655" s="132">
        <f t="shared" si="207"/>
        <v>0</v>
      </c>
      <c r="AC655" s="125">
        <v>20</v>
      </c>
      <c r="AD655" s="125">
        <f t="shared" si="208"/>
        <v>0</v>
      </c>
      <c r="AE655" s="125">
        <f t="shared" si="209"/>
        <v>0</v>
      </c>
    </row>
    <row r="656" spans="1:31" s="90" customFormat="1" ht="11.25">
      <c r="A656" s="131" t="s">
        <v>516</v>
      </c>
      <c r="B656" s="131" t="s">
        <v>1590</v>
      </c>
      <c r="C656" s="131" t="s">
        <v>2760</v>
      </c>
      <c r="D656" s="131" t="s">
        <v>3456</v>
      </c>
      <c r="E656" s="132">
        <v>2</v>
      </c>
      <c r="F656" s="132">
        <v>0</v>
      </c>
      <c r="G656" s="132">
        <f t="shared" si="200"/>
        <v>0</v>
      </c>
      <c r="H656" s="132">
        <f t="shared" si="201"/>
        <v>0</v>
      </c>
      <c r="I656" s="132">
        <f t="shared" si="202"/>
        <v>0</v>
      </c>
      <c r="J656" s="132">
        <v>0.042</v>
      </c>
      <c r="K656" s="132">
        <f t="shared" si="203"/>
        <v>0.084</v>
      </c>
      <c r="M656" s="133" t="s">
        <v>1101</v>
      </c>
      <c r="N656" s="132">
        <f t="shared" si="204"/>
        <v>0</v>
      </c>
      <c r="Y656" s="132">
        <f t="shared" si="205"/>
        <v>0</v>
      </c>
      <c r="Z656" s="132">
        <f t="shared" si="206"/>
        <v>0</v>
      </c>
      <c r="AA656" s="132">
        <f t="shared" si="207"/>
        <v>0</v>
      </c>
      <c r="AC656" s="125">
        <v>20</v>
      </c>
      <c r="AD656" s="125">
        <f t="shared" si="208"/>
        <v>0</v>
      </c>
      <c r="AE656" s="125">
        <f t="shared" si="209"/>
        <v>0</v>
      </c>
    </row>
    <row r="657" spans="1:31" s="90" customFormat="1" ht="11.25">
      <c r="A657" s="131" t="s">
        <v>517</v>
      </c>
      <c r="B657" s="131" t="s">
        <v>1591</v>
      </c>
      <c r="C657" s="131" t="s">
        <v>2761</v>
      </c>
      <c r="D657" s="131" t="s">
        <v>3459</v>
      </c>
      <c r="E657" s="132">
        <v>114.4</v>
      </c>
      <c r="F657" s="132">
        <v>0</v>
      </c>
      <c r="G657" s="132">
        <f t="shared" si="200"/>
        <v>0</v>
      </c>
      <c r="H657" s="132">
        <f t="shared" si="201"/>
        <v>0</v>
      </c>
      <c r="I657" s="132">
        <f t="shared" si="202"/>
        <v>0</v>
      </c>
      <c r="J657" s="132">
        <v>0.0112</v>
      </c>
      <c r="K657" s="132">
        <f t="shared" si="203"/>
        <v>1.28128</v>
      </c>
      <c r="M657" s="133" t="s">
        <v>1101</v>
      </c>
      <c r="N657" s="132">
        <f t="shared" si="204"/>
        <v>0</v>
      </c>
      <c r="Y657" s="132">
        <f t="shared" si="205"/>
        <v>0</v>
      </c>
      <c r="Z657" s="132">
        <f t="shared" si="206"/>
        <v>0</v>
      </c>
      <c r="AA657" s="132">
        <f t="shared" si="207"/>
        <v>0</v>
      </c>
      <c r="AC657" s="125">
        <v>20</v>
      </c>
      <c r="AD657" s="125">
        <f t="shared" si="208"/>
        <v>0</v>
      </c>
      <c r="AE657" s="125">
        <f t="shared" si="209"/>
        <v>0</v>
      </c>
    </row>
    <row r="658" spans="1:31" s="90" customFormat="1" ht="11.25">
      <c r="A658" s="131" t="s">
        <v>518</v>
      </c>
      <c r="B658" s="131" t="s">
        <v>1592</v>
      </c>
      <c r="C658" s="131" t="s">
        <v>2762</v>
      </c>
      <c r="D658" s="131" t="s">
        <v>3459</v>
      </c>
      <c r="E658" s="132">
        <v>1</v>
      </c>
      <c r="F658" s="132">
        <v>0</v>
      </c>
      <c r="G658" s="132">
        <f t="shared" si="200"/>
        <v>0</v>
      </c>
      <c r="H658" s="132">
        <f t="shared" si="201"/>
        <v>0</v>
      </c>
      <c r="I658" s="132">
        <f t="shared" si="202"/>
        <v>0</v>
      </c>
      <c r="J658" s="132">
        <v>0.03</v>
      </c>
      <c r="K658" s="132">
        <f t="shared" si="203"/>
        <v>0.03</v>
      </c>
      <c r="M658" s="133" t="s">
        <v>1101</v>
      </c>
      <c r="N658" s="132">
        <f t="shared" si="204"/>
        <v>0</v>
      </c>
      <c r="Y658" s="132">
        <f t="shared" si="205"/>
        <v>0</v>
      </c>
      <c r="Z658" s="132">
        <f t="shared" si="206"/>
        <v>0</v>
      </c>
      <c r="AA658" s="132">
        <f t="shared" si="207"/>
        <v>0</v>
      </c>
      <c r="AC658" s="125">
        <v>20</v>
      </c>
      <c r="AD658" s="125">
        <f t="shared" si="208"/>
        <v>0</v>
      </c>
      <c r="AE658" s="125">
        <f t="shared" si="209"/>
        <v>0</v>
      </c>
    </row>
    <row r="659" spans="1:31" s="90" customFormat="1" ht="11.25">
      <c r="A659" s="131" t="s">
        <v>519</v>
      </c>
      <c r="B659" s="131" t="s">
        <v>1593</v>
      </c>
      <c r="C659" s="131" t="s">
        <v>2763</v>
      </c>
      <c r="D659" s="131" t="s">
        <v>3456</v>
      </c>
      <c r="E659" s="132">
        <v>2</v>
      </c>
      <c r="F659" s="132">
        <v>0</v>
      </c>
      <c r="G659" s="132">
        <f t="shared" si="200"/>
        <v>0</v>
      </c>
      <c r="H659" s="132">
        <f t="shared" si="201"/>
        <v>0</v>
      </c>
      <c r="I659" s="132">
        <f t="shared" si="202"/>
        <v>0</v>
      </c>
      <c r="J659" s="132">
        <v>0.035</v>
      </c>
      <c r="K659" s="132">
        <f t="shared" si="203"/>
        <v>0.07</v>
      </c>
      <c r="M659" s="133" t="s">
        <v>1101</v>
      </c>
      <c r="N659" s="132">
        <f t="shared" si="204"/>
        <v>0</v>
      </c>
      <c r="Y659" s="132">
        <f t="shared" si="205"/>
        <v>0</v>
      </c>
      <c r="Z659" s="132">
        <f t="shared" si="206"/>
        <v>0</v>
      </c>
      <c r="AA659" s="132">
        <f t="shared" si="207"/>
        <v>0</v>
      </c>
      <c r="AC659" s="125">
        <v>20</v>
      </c>
      <c r="AD659" s="125">
        <f t="shared" si="208"/>
        <v>0</v>
      </c>
      <c r="AE659" s="125">
        <f t="shared" si="209"/>
        <v>0</v>
      </c>
    </row>
    <row r="660" spans="1:31" s="90" customFormat="1" ht="11.25">
      <c r="A660" s="122" t="s">
        <v>520</v>
      </c>
      <c r="B660" s="122" t="s">
        <v>1594</v>
      </c>
      <c r="C660" s="122" t="s">
        <v>2764</v>
      </c>
      <c r="D660" s="122" t="s">
        <v>3457</v>
      </c>
      <c r="E660" s="123">
        <v>2</v>
      </c>
      <c r="F660" s="123">
        <v>0</v>
      </c>
      <c r="G660" s="123">
        <f t="shared" si="200"/>
        <v>0</v>
      </c>
      <c r="H660" s="123">
        <f t="shared" si="201"/>
        <v>0</v>
      </c>
      <c r="I660" s="123">
        <f t="shared" si="202"/>
        <v>0</v>
      </c>
      <c r="J660" s="123">
        <v>0.045</v>
      </c>
      <c r="K660" s="123">
        <f t="shared" si="203"/>
        <v>0.09</v>
      </c>
      <c r="M660" s="124" t="s">
        <v>7</v>
      </c>
      <c r="N660" s="123">
        <f t="shared" si="204"/>
        <v>0</v>
      </c>
      <c r="Y660" s="123">
        <f t="shared" si="205"/>
        <v>0</v>
      </c>
      <c r="Z660" s="123">
        <f t="shared" si="206"/>
        <v>0</v>
      </c>
      <c r="AA660" s="123">
        <f t="shared" si="207"/>
        <v>0</v>
      </c>
      <c r="AC660" s="125">
        <v>20</v>
      </c>
      <c r="AD660" s="125">
        <f>F660*0</f>
        <v>0</v>
      </c>
      <c r="AE660" s="125">
        <f>F660*(1-0)</f>
        <v>0</v>
      </c>
    </row>
    <row r="661" spans="1:31" s="90" customFormat="1" ht="11.25">
      <c r="A661" s="122" t="s">
        <v>521</v>
      </c>
      <c r="B661" s="122" t="s">
        <v>1595</v>
      </c>
      <c r="C661" s="122" t="s">
        <v>2765</v>
      </c>
      <c r="D661" s="122" t="s">
        <v>3459</v>
      </c>
      <c r="E661" s="123">
        <v>104</v>
      </c>
      <c r="F661" s="123">
        <v>0</v>
      </c>
      <c r="G661" s="123">
        <f t="shared" si="200"/>
        <v>0</v>
      </c>
      <c r="H661" s="123">
        <f t="shared" si="201"/>
        <v>0</v>
      </c>
      <c r="I661" s="123">
        <f t="shared" si="202"/>
        <v>0</v>
      </c>
      <c r="J661" s="123">
        <v>0.00019</v>
      </c>
      <c r="K661" s="123">
        <f t="shared" si="203"/>
        <v>0.01976</v>
      </c>
      <c r="M661" s="124" t="s">
        <v>7</v>
      </c>
      <c r="N661" s="123">
        <f t="shared" si="204"/>
        <v>0</v>
      </c>
      <c r="Y661" s="123">
        <f t="shared" si="205"/>
        <v>0</v>
      </c>
      <c r="Z661" s="123">
        <f t="shared" si="206"/>
        <v>0</v>
      </c>
      <c r="AA661" s="123">
        <f t="shared" si="207"/>
        <v>0</v>
      </c>
      <c r="AC661" s="125">
        <v>20</v>
      </c>
      <c r="AD661" s="125">
        <f>F661*0.027294085129906</f>
        <v>0</v>
      </c>
      <c r="AE661" s="125">
        <f>F661*(1-0.027294085129906)</f>
        <v>0</v>
      </c>
    </row>
    <row r="662" spans="1:31" s="90" customFormat="1" ht="11.25">
      <c r="A662" s="122" t="s">
        <v>522</v>
      </c>
      <c r="B662" s="122" t="s">
        <v>1596</v>
      </c>
      <c r="C662" s="122" t="s">
        <v>2766</v>
      </c>
      <c r="D662" s="122" t="s">
        <v>3459</v>
      </c>
      <c r="E662" s="123">
        <v>46.31</v>
      </c>
      <c r="F662" s="123">
        <v>0</v>
      </c>
      <c r="G662" s="123">
        <f t="shared" si="200"/>
        <v>0</v>
      </c>
      <c r="H662" s="123">
        <f t="shared" si="201"/>
        <v>0</v>
      </c>
      <c r="I662" s="123">
        <f t="shared" si="202"/>
        <v>0</v>
      </c>
      <c r="J662" s="123">
        <v>0.00486</v>
      </c>
      <c r="K662" s="123">
        <f t="shared" si="203"/>
        <v>0.2250666</v>
      </c>
      <c r="M662" s="124" t="s">
        <v>9</v>
      </c>
      <c r="N662" s="123">
        <f t="shared" si="204"/>
        <v>0</v>
      </c>
      <c r="Y662" s="123">
        <f t="shared" si="205"/>
        <v>0</v>
      </c>
      <c r="Z662" s="123">
        <f t="shared" si="206"/>
        <v>0</v>
      </c>
      <c r="AA662" s="123">
        <f t="shared" si="207"/>
        <v>0</v>
      </c>
      <c r="AC662" s="125">
        <v>20</v>
      </c>
      <c r="AD662" s="125">
        <f>F662*0.260812342339049</f>
        <v>0</v>
      </c>
      <c r="AE662" s="125">
        <f>F662*(1-0.260812342339049)</f>
        <v>0</v>
      </c>
    </row>
    <row r="663" s="90" customFormat="1" ht="11.25">
      <c r="C663" s="126" t="s">
        <v>2767</v>
      </c>
    </row>
    <row r="664" spans="1:31" s="90" customFormat="1" ht="11.25">
      <c r="A664" s="122" t="s">
        <v>523</v>
      </c>
      <c r="B664" s="122" t="s">
        <v>1597</v>
      </c>
      <c r="C664" s="122" t="s">
        <v>2768</v>
      </c>
      <c r="D664" s="122" t="s">
        <v>3455</v>
      </c>
      <c r="E664" s="123">
        <v>74.5</v>
      </c>
      <c r="F664" s="123">
        <v>0</v>
      </c>
      <c r="G664" s="123">
        <f aca="true" t="shared" si="210" ref="G664:G673">ROUND(E664*AD664,2)</f>
        <v>0</v>
      </c>
      <c r="H664" s="123">
        <f aca="true" t="shared" si="211" ref="H664:H673">I664-G664</f>
        <v>0</v>
      </c>
      <c r="I664" s="123">
        <f aca="true" t="shared" si="212" ref="I664:I673">ROUND(E664*F664,2)</f>
        <v>0</v>
      </c>
      <c r="J664" s="123">
        <v>0.00028</v>
      </c>
      <c r="K664" s="123">
        <f aca="true" t="shared" si="213" ref="K664:K673">E664*J664</f>
        <v>0.020859999999999997</v>
      </c>
      <c r="M664" s="124" t="s">
        <v>7</v>
      </c>
      <c r="N664" s="123">
        <f aca="true" t="shared" si="214" ref="N664:N673">IF(M664="5",H664,0)</f>
        <v>0</v>
      </c>
      <c r="Y664" s="123">
        <f aca="true" t="shared" si="215" ref="Y664:Y673">IF(AC664=0,I664,0)</f>
        <v>0</v>
      </c>
      <c r="Z664" s="123">
        <f aca="true" t="shared" si="216" ref="Z664:Z673">IF(AC664=14,I664,0)</f>
        <v>0</v>
      </c>
      <c r="AA664" s="123">
        <f aca="true" t="shared" si="217" ref="AA664:AA673">IF(AC664=20,I664,0)</f>
        <v>0</v>
      </c>
      <c r="AC664" s="125">
        <v>20</v>
      </c>
      <c r="AD664" s="125">
        <f>F664*0.202929617720615</f>
        <v>0</v>
      </c>
      <c r="AE664" s="125">
        <f>F664*(1-0.202929617720615)</f>
        <v>0</v>
      </c>
    </row>
    <row r="665" spans="1:31" s="90" customFormat="1" ht="11.25">
      <c r="A665" s="122" t="s">
        <v>524</v>
      </c>
      <c r="B665" s="122" t="s">
        <v>1598</v>
      </c>
      <c r="C665" s="122" t="s">
        <v>2769</v>
      </c>
      <c r="D665" s="122" t="s">
        <v>3459</v>
      </c>
      <c r="E665" s="123">
        <v>11.6</v>
      </c>
      <c r="F665" s="123">
        <v>0</v>
      </c>
      <c r="G665" s="123">
        <f t="shared" si="210"/>
        <v>0</v>
      </c>
      <c r="H665" s="123">
        <f t="shared" si="211"/>
        <v>0</v>
      </c>
      <c r="I665" s="123">
        <f t="shared" si="212"/>
        <v>0</v>
      </c>
      <c r="J665" s="123">
        <v>0.00025</v>
      </c>
      <c r="K665" s="123">
        <f t="shared" si="213"/>
        <v>0.0029</v>
      </c>
      <c r="M665" s="124" t="s">
        <v>7</v>
      </c>
      <c r="N665" s="123">
        <f t="shared" si="214"/>
        <v>0</v>
      </c>
      <c r="Y665" s="123">
        <f t="shared" si="215"/>
        <v>0</v>
      </c>
      <c r="Z665" s="123">
        <f t="shared" si="216"/>
        <v>0</v>
      </c>
      <c r="AA665" s="123">
        <f t="shared" si="217"/>
        <v>0</v>
      </c>
      <c r="AC665" s="125">
        <v>20</v>
      </c>
      <c r="AD665" s="125">
        <f>F665*0.303346416029746</f>
        <v>0</v>
      </c>
      <c r="AE665" s="125">
        <f>F665*(1-0.303346416029746)</f>
        <v>0</v>
      </c>
    </row>
    <row r="666" spans="1:31" s="90" customFormat="1" ht="11.25">
      <c r="A666" s="122" t="s">
        <v>525</v>
      </c>
      <c r="B666" s="122" t="s">
        <v>1599</v>
      </c>
      <c r="C666" s="122" t="s">
        <v>2770</v>
      </c>
      <c r="D666" s="122" t="s">
        <v>3456</v>
      </c>
      <c r="E666" s="123">
        <v>12</v>
      </c>
      <c r="F666" s="123">
        <v>0</v>
      </c>
      <c r="G666" s="123">
        <f t="shared" si="210"/>
        <v>0</v>
      </c>
      <c r="H666" s="123">
        <f t="shared" si="211"/>
        <v>0</v>
      </c>
      <c r="I666" s="123">
        <f t="shared" si="212"/>
        <v>0</v>
      </c>
      <c r="J666" s="123">
        <v>0.00569</v>
      </c>
      <c r="K666" s="123">
        <f t="shared" si="213"/>
        <v>0.06828</v>
      </c>
      <c r="M666" s="124" t="s">
        <v>9</v>
      </c>
      <c r="N666" s="123">
        <f t="shared" si="214"/>
        <v>0</v>
      </c>
      <c r="Y666" s="123">
        <f t="shared" si="215"/>
        <v>0</v>
      </c>
      <c r="Z666" s="123">
        <f t="shared" si="216"/>
        <v>0</v>
      </c>
      <c r="AA666" s="123">
        <f t="shared" si="217"/>
        <v>0</v>
      </c>
      <c r="AC666" s="125">
        <v>20</v>
      </c>
      <c r="AD666" s="125">
        <f>F666*0.689287012858229</f>
        <v>0</v>
      </c>
      <c r="AE666" s="125">
        <f>F666*(1-0.689287012858229)</f>
        <v>0</v>
      </c>
    </row>
    <row r="667" spans="1:31" s="90" customFormat="1" ht="11.25">
      <c r="A667" s="122" t="s">
        <v>526</v>
      </c>
      <c r="B667" s="122" t="s">
        <v>1600</v>
      </c>
      <c r="C667" s="122" t="s">
        <v>2771</v>
      </c>
      <c r="D667" s="122" t="s">
        <v>3456</v>
      </c>
      <c r="E667" s="123">
        <v>17</v>
      </c>
      <c r="F667" s="123">
        <v>0</v>
      </c>
      <c r="G667" s="123">
        <f t="shared" si="210"/>
        <v>0</v>
      </c>
      <c r="H667" s="123">
        <f t="shared" si="211"/>
        <v>0</v>
      </c>
      <c r="I667" s="123">
        <f t="shared" si="212"/>
        <v>0</v>
      </c>
      <c r="J667" s="123">
        <v>0.00837</v>
      </c>
      <c r="K667" s="123">
        <f t="shared" si="213"/>
        <v>0.14229</v>
      </c>
      <c r="M667" s="124" t="s">
        <v>9</v>
      </c>
      <c r="N667" s="123">
        <f t="shared" si="214"/>
        <v>0</v>
      </c>
      <c r="Y667" s="123">
        <f t="shared" si="215"/>
        <v>0</v>
      </c>
      <c r="Z667" s="123">
        <f t="shared" si="216"/>
        <v>0</v>
      </c>
      <c r="AA667" s="123">
        <f t="shared" si="217"/>
        <v>0</v>
      </c>
      <c r="AC667" s="125">
        <v>20</v>
      </c>
      <c r="AD667" s="125">
        <f>F667*0.687623370329657</f>
        <v>0</v>
      </c>
      <c r="AE667" s="125">
        <f>F667*(1-0.687623370329657)</f>
        <v>0</v>
      </c>
    </row>
    <row r="668" spans="1:31" s="90" customFormat="1" ht="11.25">
      <c r="A668" s="122" t="s">
        <v>527</v>
      </c>
      <c r="B668" s="122" t="s">
        <v>1601</v>
      </c>
      <c r="C668" s="122" t="s">
        <v>2772</v>
      </c>
      <c r="D668" s="122" t="s">
        <v>3456</v>
      </c>
      <c r="E668" s="123">
        <v>9</v>
      </c>
      <c r="F668" s="123">
        <v>0</v>
      </c>
      <c r="G668" s="123">
        <f t="shared" si="210"/>
        <v>0</v>
      </c>
      <c r="H668" s="123">
        <f t="shared" si="211"/>
        <v>0</v>
      </c>
      <c r="I668" s="123">
        <f t="shared" si="212"/>
        <v>0</v>
      </c>
      <c r="J668" s="123">
        <v>0.01137</v>
      </c>
      <c r="K668" s="123">
        <f t="shared" si="213"/>
        <v>0.10233</v>
      </c>
      <c r="M668" s="124" t="s">
        <v>9</v>
      </c>
      <c r="N668" s="123">
        <f t="shared" si="214"/>
        <v>0</v>
      </c>
      <c r="Y668" s="123">
        <f t="shared" si="215"/>
        <v>0</v>
      </c>
      <c r="Z668" s="123">
        <f t="shared" si="216"/>
        <v>0</v>
      </c>
      <c r="AA668" s="123">
        <f t="shared" si="217"/>
        <v>0</v>
      </c>
      <c r="AC668" s="125">
        <v>20</v>
      </c>
      <c r="AD668" s="125">
        <f>F668*0.623203679586875</f>
        <v>0</v>
      </c>
      <c r="AE668" s="125">
        <f>F668*(1-0.623203679586875)</f>
        <v>0</v>
      </c>
    </row>
    <row r="669" spans="1:31" s="90" customFormat="1" ht="11.25">
      <c r="A669" s="122" t="s">
        <v>528</v>
      </c>
      <c r="B669" s="122" t="s">
        <v>1602</v>
      </c>
      <c r="C669" s="122" t="s">
        <v>2773</v>
      </c>
      <c r="D669" s="122" t="s">
        <v>3456</v>
      </c>
      <c r="E669" s="123">
        <v>5</v>
      </c>
      <c r="F669" s="123">
        <v>0</v>
      </c>
      <c r="G669" s="123">
        <f t="shared" si="210"/>
        <v>0</v>
      </c>
      <c r="H669" s="123">
        <f t="shared" si="211"/>
        <v>0</v>
      </c>
      <c r="I669" s="123">
        <f t="shared" si="212"/>
        <v>0</v>
      </c>
      <c r="J669" s="123">
        <v>0.00268</v>
      </c>
      <c r="K669" s="123">
        <f t="shared" si="213"/>
        <v>0.0134</v>
      </c>
      <c r="M669" s="124" t="s">
        <v>7</v>
      </c>
      <c r="N669" s="123">
        <f t="shared" si="214"/>
        <v>0</v>
      </c>
      <c r="Y669" s="123">
        <f t="shared" si="215"/>
        <v>0</v>
      </c>
      <c r="Z669" s="123">
        <f t="shared" si="216"/>
        <v>0</v>
      </c>
      <c r="AA669" s="123">
        <f t="shared" si="217"/>
        <v>0</v>
      </c>
      <c r="AC669" s="125">
        <v>20</v>
      </c>
      <c r="AD669" s="125">
        <f>F669*0.467699173699792</f>
        <v>0</v>
      </c>
      <c r="AE669" s="125">
        <f>F669*(1-0.467699173699792)</f>
        <v>0</v>
      </c>
    </row>
    <row r="670" spans="1:31" s="90" customFormat="1" ht="11.25">
      <c r="A670" s="122" t="s">
        <v>529</v>
      </c>
      <c r="B670" s="122" t="s">
        <v>1603</v>
      </c>
      <c r="C670" s="122" t="s">
        <v>2774</v>
      </c>
      <c r="D670" s="122" t="s">
        <v>3456</v>
      </c>
      <c r="E670" s="123">
        <v>8</v>
      </c>
      <c r="F670" s="123">
        <v>0</v>
      </c>
      <c r="G670" s="123">
        <f t="shared" si="210"/>
        <v>0</v>
      </c>
      <c r="H670" s="123">
        <f t="shared" si="211"/>
        <v>0</v>
      </c>
      <c r="I670" s="123">
        <f t="shared" si="212"/>
        <v>0</v>
      </c>
      <c r="J670" s="123">
        <v>0.00545</v>
      </c>
      <c r="K670" s="123">
        <f t="shared" si="213"/>
        <v>0.0436</v>
      </c>
      <c r="M670" s="124" t="s">
        <v>7</v>
      </c>
      <c r="N670" s="123">
        <f t="shared" si="214"/>
        <v>0</v>
      </c>
      <c r="Y670" s="123">
        <f t="shared" si="215"/>
        <v>0</v>
      </c>
      <c r="Z670" s="123">
        <f t="shared" si="216"/>
        <v>0</v>
      </c>
      <c r="AA670" s="123">
        <f t="shared" si="217"/>
        <v>0</v>
      </c>
      <c r="AC670" s="125">
        <v>20</v>
      </c>
      <c r="AD670" s="125">
        <f>F670*0.268118620454352</f>
        <v>0</v>
      </c>
      <c r="AE670" s="125">
        <f>F670*(1-0.268118620454352)</f>
        <v>0</v>
      </c>
    </row>
    <row r="671" spans="1:31" s="90" customFormat="1" ht="11.25">
      <c r="A671" s="122" t="s">
        <v>530</v>
      </c>
      <c r="B671" s="122" t="s">
        <v>1604</v>
      </c>
      <c r="C671" s="122" t="s">
        <v>2775</v>
      </c>
      <c r="D671" s="122" t="s">
        <v>3456</v>
      </c>
      <c r="E671" s="123">
        <v>2</v>
      </c>
      <c r="F671" s="123">
        <v>0</v>
      </c>
      <c r="G671" s="123">
        <f t="shared" si="210"/>
        <v>0</v>
      </c>
      <c r="H671" s="123">
        <f t="shared" si="211"/>
        <v>0</v>
      </c>
      <c r="I671" s="123">
        <f t="shared" si="212"/>
        <v>0</v>
      </c>
      <c r="J671" s="123">
        <v>0.00182</v>
      </c>
      <c r="K671" s="123">
        <f t="shared" si="213"/>
        <v>0.00364</v>
      </c>
      <c r="M671" s="124" t="s">
        <v>9</v>
      </c>
      <c r="N671" s="123">
        <f t="shared" si="214"/>
        <v>0</v>
      </c>
      <c r="Y671" s="123">
        <f t="shared" si="215"/>
        <v>0</v>
      </c>
      <c r="Z671" s="123">
        <f t="shared" si="216"/>
        <v>0</v>
      </c>
      <c r="AA671" s="123">
        <f t="shared" si="217"/>
        <v>0</v>
      </c>
      <c r="AC671" s="125">
        <v>20</v>
      </c>
      <c r="AD671" s="125">
        <f>F671*0.208715674569333</f>
        <v>0</v>
      </c>
      <c r="AE671" s="125">
        <f>F671*(1-0.208715674569333)</f>
        <v>0</v>
      </c>
    </row>
    <row r="672" spans="1:31" s="90" customFormat="1" ht="11.25">
      <c r="A672" s="122" t="s">
        <v>531</v>
      </c>
      <c r="B672" s="122" t="s">
        <v>1605</v>
      </c>
      <c r="C672" s="122" t="s">
        <v>2776</v>
      </c>
      <c r="D672" s="122" t="s">
        <v>3456</v>
      </c>
      <c r="E672" s="123">
        <v>1</v>
      </c>
      <c r="F672" s="123">
        <v>0</v>
      </c>
      <c r="G672" s="123">
        <f t="shared" si="210"/>
        <v>0</v>
      </c>
      <c r="H672" s="123">
        <f t="shared" si="211"/>
        <v>0</v>
      </c>
      <c r="I672" s="123">
        <f t="shared" si="212"/>
        <v>0</v>
      </c>
      <c r="J672" s="123">
        <v>0.00264</v>
      </c>
      <c r="K672" s="123">
        <f t="shared" si="213"/>
        <v>0.00264</v>
      </c>
      <c r="M672" s="124" t="s">
        <v>9</v>
      </c>
      <c r="N672" s="123">
        <f t="shared" si="214"/>
        <v>0</v>
      </c>
      <c r="Y672" s="123">
        <f t="shared" si="215"/>
        <v>0</v>
      </c>
      <c r="Z672" s="123">
        <f t="shared" si="216"/>
        <v>0</v>
      </c>
      <c r="AA672" s="123">
        <f t="shared" si="217"/>
        <v>0</v>
      </c>
      <c r="AC672" s="125">
        <v>20</v>
      </c>
      <c r="AD672" s="125">
        <f>F672*0.140501217933244</f>
        <v>0</v>
      </c>
      <c r="AE672" s="125">
        <f>F672*(1-0.140501217933244)</f>
        <v>0</v>
      </c>
    </row>
    <row r="673" spans="1:31" s="90" customFormat="1" ht="11.25">
      <c r="A673" s="122" t="s">
        <v>532</v>
      </c>
      <c r="B673" s="122" t="s">
        <v>1606</v>
      </c>
      <c r="C673" s="122" t="s">
        <v>2777</v>
      </c>
      <c r="D673" s="122" t="s">
        <v>3456</v>
      </c>
      <c r="E673" s="123">
        <v>4</v>
      </c>
      <c r="F673" s="123">
        <v>0</v>
      </c>
      <c r="G673" s="123">
        <f t="shared" si="210"/>
        <v>0</v>
      </c>
      <c r="H673" s="123">
        <f t="shared" si="211"/>
        <v>0</v>
      </c>
      <c r="I673" s="123">
        <f t="shared" si="212"/>
        <v>0</v>
      </c>
      <c r="J673" s="123">
        <v>0.0219</v>
      </c>
      <c r="K673" s="123">
        <f t="shared" si="213"/>
        <v>0.0876</v>
      </c>
      <c r="M673" s="124" t="s">
        <v>9</v>
      </c>
      <c r="N673" s="123">
        <f t="shared" si="214"/>
        <v>0</v>
      </c>
      <c r="Y673" s="123">
        <f t="shared" si="215"/>
        <v>0</v>
      </c>
      <c r="Z673" s="123">
        <f t="shared" si="216"/>
        <v>0</v>
      </c>
      <c r="AA673" s="123">
        <f t="shared" si="217"/>
        <v>0</v>
      </c>
      <c r="AC673" s="125">
        <v>20</v>
      </c>
      <c r="AD673" s="125">
        <f>F673*0.91464057665772</f>
        <v>0</v>
      </c>
      <c r="AE673" s="125">
        <f>F673*(1-0.91464057665772)</f>
        <v>0</v>
      </c>
    </row>
    <row r="674" s="90" customFormat="1" ht="22.5">
      <c r="C674" s="126" t="s">
        <v>2778</v>
      </c>
    </row>
    <row r="675" spans="1:31" s="90" customFormat="1" ht="11.25">
      <c r="A675" s="122" t="s">
        <v>533</v>
      </c>
      <c r="B675" s="122" t="s">
        <v>1607</v>
      </c>
      <c r="C675" s="122" t="s">
        <v>2779</v>
      </c>
      <c r="D675" s="122" t="s">
        <v>3455</v>
      </c>
      <c r="E675" s="123">
        <v>64.67</v>
      </c>
      <c r="F675" s="123">
        <v>0</v>
      </c>
      <c r="G675" s="123">
        <f>ROUND(E675*AD675,2)</f>
        <v>0</v>
      </c>
      <c r="H675" s="123">
        <f>I675-G675</f>
        <v>0</v>
      </c>
      <c r="I675" s="123">
        <f>ROUND(E675*F675,2)</f>
        <v>0</v>
      </c>
      <c r="J675" s="123">
        <v>0.00506</v>
      </c>
      <c r="K675" s="123">
        <f>E675*J675</f>
        <v>0.3272302</v>
      </c>
      <c r="M675" s="124" t="s">
        <v>9</v>
      </c>
      <c r="N675" s="123">
        <f>IF(M675="5",H675,0)</f>
        <v>0</v>
      </c>
      <c r="Y675" s="123">
        <f>IF(AC675=0,I675,0)</f>
        <v>0</v>
      </c>
      <c r="Z675" s="123">
        <f>IF(AC675=14,I675,0)</f>
        <v>0</v>
      </c>
      <c r="AA675" s="123">
        <f>IF(AC675=20,I675,0)</f>
        <v>0</v>
      </c>
      <c r="AC675" s="125">
        <v>20</v>
      </c>
      <c r="AD675" s="125">
        <f>F675*0.738570119920053</f>
        <v>0</v>
      </c>
      <c r="AE675" s="125">
        <f>F675*(1-0.738570119920053)</f>
        <v>0</v>
      </c>
    </row>
    <row r="676" s="90" customFormat="1" ht="11.25">
      <c r="C676" s="126" t="s">
        <v>2780</v>
      </c>
    </row>
    <row r="677" spans="1:31" s="90" customFormat="1" ht="11.25">
      <c r="A677" s="122" t="s">
        <v>534</v>
      </c>
      <c r="B677" s="122" t="s">
        <v>1608</v>
      </c>
      <c r="C677" s="122" t="s">
        <v>2781</v>
      </c>
      <c r="D677" s="122" t="s">
        <v>3456</v>
      </c>
      <c r="E677" s="123">
        <v>2</v>
      </c>
      <c r="F677" s="123">
        <v>0</v>
      </c>
      <c r="G677" s="123">
        <f>ROUND(E677*AD677,2)</f>
        <v>0</v>
      </c>
      <c r="H677" s="123">
        <f>I677-G677</f>
        <v>0</v>
      </c>
      <c r="I677" s="123">
        <f>ROUND(E677*F677,2)</f>
        <v>0</v>
      </c>
      <c r="J677" s="123">
        <v>0.184</v>
      </c>
      <c r="K677" s="123">
        <f>E677*J677</f>
        <v>0.368</v>
      </c>
      <c r="M677" s="124" t="s">
        <v>9</v>
      </c>
      <c r="N677" s="123">
        <f>IF(M677="5",H677,0)</f>
        <v>0</v>
      </c>
      <c r="Y677" s="123">
        <f>IF(AC677=0,I677,0)</f>
        <v>0</v>
      </c>
      <c r="Z677" s="123">
        <f>IF(AC677=14,I677,0)</f>
        <v>0</v>
      </c>
      <c r="AA677" s="123">
        <f>IF(AC677=20,I677,0)</f>
        <v>0</v>
      </c>
      <c r="AC677" s="125">
        <v>20</v>
      </c>
      <c r="AD677" s="125">
        <f>F677*0.945393020527545</f>
        <v>0</v>
      </c>
      <c r="AE677" s="125">
        <f>F677*(1-0.945393020527545)</f>
        <v>0</v>
      </c>
    </row>
    <row r="678" s="90" customFormat="1" ht="11.25">
      <c r="C678" s="126" t="s">
        <v>2782</v>
      </c>
    </row>
    <row r="679" spans="1:31" s="90" customFormat="1" ht="11.25">
      <c r="A679" s="122" t="s">
        <v>535</v>
      </c>
      <c r="B679" s="122" t="s">
        <v>1609</v>
      </c>
      <c r="C679" s="122" t="s">
        <v>2783</v>
      </c>
      <c r="D679" s="122" t="s">
        <v>3460</v>
      </c>
      <c r="E679" s="123">
        <v>5.04528</v>
      </c>
      <c r="F679" s="123">
        <v>0</v>
      </c>
      <c r="G679" s="123">
        <f>ROUND(E679*AD679,2)</f>
        <v>0</v>
      </c>
      <c r="H679" s="123">
        <f>I679-G679</f>
        <v>0</v>
      </c>
      <c r="I679" s="123">
        <f>ROUND(E679*F679,2)</f>
        <v>0</v>
      </c>
      <c r="J679" s="123">
        <v>0</v>
      </c>
      <c r="K679" s="123">
        <f>E679*J679</f>
        <v>0</v>
      </c>
      <c r="M679" s="124" t="s">
        <v>11</v>
      </c>
      <c r="N679" s="123">
        <f>IF(M679="5",H679,0)</f>
        <v>0</v>
      </c>
      <c r="Y679" s="123">
        <f>IF(AC679=0,I679,0)</f>
        <v>0</v>
      </c>
      <c r="Z679" s="123">
        <f>IF(AC679=14,I679,0)</f>
        <v>0</v>
      </c>
      <c r="AA679" s="123">
        <f>IF(AC679=20,I679,0)</f>
        <v>0</v>
      </c>
      <c r="AC679" s="125">
        <v>20</v>
      </c>
      <c r="AD679" s="125">
        <f>F679*0</f>
        <v>0</v>
      </c>
      <c r="AE679" s="125">
        <f>F679*(1-0)</f>
        <v>0</v>
      </c>
    </row>
    <row r="680" spans="1:36" s="90" customFormat="1" ht="11.25">
      <c r="A680" s="127"/>
      <c r="B680" s="128" t="s">
        <v>773</v>
      </c>
      <c r="C680" s="129" t="s">
        <v>2784</v>
      </c>
      <c r="D680" s="130"/>
      <c r="E680" s="130"/>
      <c r="F680" s="130"/>
      <c r="G680" s="121">
        <f>SUM(G681:G716)</f>
        <v>0</v>
      </c>
      <c r="H680" s="121">
        <f>SUM(H681:H716)</f>
        <v>0</v>
      </c>
      <c r="I680" s="121">
        <f>G680+H680</f>
        <v>0</v>
      </c>
      <c r="J680" s="114"/>
      <c r="K680" s="121">
        <f>SUM(K681:K716)</f>
        <v>9.0431982</v>
      </c>
      <c r="O680" s="121">
        <f>IF(P680="PR",I680,SUM(N681:N716))</f>
        <v>0</v>
      </c>
      <c r="P680" s="114" t="s">
        <v>3490</v>
      </c>
      <c r="Q680" s="121">
        <f>IF(P680="HS",G680,0)</f>
        <v>0</v>
      </c>
      <c r="R680" s="121">
        <f>IF(P680="HS",H680-O680,0)</f>
        <v>0</v>
      </c>
      <c r="S680" s="121">
        <f>IF(P680="PS",G680,0)</f>
        <v>0</v>
      </c>
      <c r="T680" s="121">
        <f>IF(P680="PS",H680-O680,0)</f>
        <v>0</v>
      </c>
      <c r="U680" s="121">
        <f>IF(P680="MP",G680,0)</f>
        <v>0</v>
      </c>
      <c r="V680" s="121">
        <f>IF(P680="MP",H680-O680,0)</f>
        <v>0</v>
      </c>
      <c r="W680" s="121">
        <f>IF(P680="OM",G680,0)</f>
        <v>0</v>
      </c>
      <c r="X680" s="114"/>
      <c r="AH680" s="121">
        <f>SUM(Y681:Y716)</f>
        <v>0</v>
      </c>
      <c r="AI680" s="121">
        <f>SUM(Z681:Z716)</f>
        <v>0</v>
      </c>
      <c r="AJ680" s="121">
        <f>SUM(AA681:AA716)</f>
        <v>0</v>
      </c>
    </row>
    <row r="681" spans="1:31" s="90" customFormat="1" ht="11.25">
      <c r="A681" s="131" t="s">
        <v>536</v>
      </c>
      <c r="B681" s="131" t="s">
        <v>1200</v>
      </c>
      <c r="C681" s="131" t="s">
        <v>2282</v>
      </c>
      <c r="D681" s="131" t="s">
        <v>3461</v>
      </c>
      <c r="E681" s="132">
        <v>0.02</v>
      </c>
      <c r="F681" s="132">
        <v>0</v>
      </c>
      <c r="G681" s="132">
        <f aca="true" t="shared" si="218" ref="G681:G697">ROUND(E681*AD681,2)</f>
        <v>0</v>
      </c>
      <c r="H681" s="132">
        <f aca="true" t="shared" si="219" ref="H681:H697">I681-G681</f>
        <v>0</v>
      </c>
      <c r="I681" s="132">
        <f aca="true" t="shared" si="220" ref="I681:I697">ROUND(E681*F681,2)</f>
        <v>0</v>
      </c>
      <c r="J681" s="132">
        <v>1</v>
      </c>
      <c r="K681" s="132">
        <f aca="true" t="shared" si="221" ref="K681:K697">E681*J681</f>
        <v>0.02</v>
      </c>
      <c r="M681" s="133" t="s">
        <v>1101</v>
      </c>
      <c r="N681" s="132">
        <f aca="true" t="shared" si="222" ref="N681:N697">IF(M681="5",H681,0)</f>
        <v>0</v>
      </c>
      <c r="Y681" s="132">
        <f aca="true" t="shared" si="223" ref="Y681:Y697">IF(AC681=0,I681,0)</f>
        <v>0</v>
      </c>
      <c r="Z681" s="132">
        <f aca="true" t="shared" si="224" ref="Z681:Z697">IF(AC681=14,I681,0)</f>
        <v>0</v>
      </c>
      <c r="AA681" s="132">
        <f aca="true" t="shared" si="225" ref="AA681:AA697">IF(AC681=20,I681,0)</f>
        <v>0</v>
      </c>
      <c r="AC681" s="125">
        <v>20</v>
      </c>
      <c r="AD681" s="125">
        <f aca="true" t="shared" si="226" ref="AD681:AD696">F681*1</f>
        <v>0</v>
      </c>
      <c r="AE681" s="125">
        <f aca="true" t="shared" si="227" ref="AE681:AE696">F681*(1-1)</f>
        <v>0</v>
      </c>
    </row>
    <row r="682" spans="1:31" s="90" customFormat="1" ht="11.25">
      <c r="A682" s="131" t="s">
        <v>537</v>
      </c>
      <c r="B682" s="131" t="s">
        <v>1610</v>
      </c>
      <c r="C682" s="131" t="s">
        <v>2785</v>
      </c>
      <c r="D682" s="131" t="s">
        <v>3461</v>
      </c>
      <c r="E682" s="132">
        <v>0.04</v>
      </c>
      <c r="F682" s="132">
        <v>0</v>
      </c>
      <c r="G682" s="132">
        <f t="shared" si="218"/>
        <v>0</v>
      </c>
      <c r="H682" s="132">
        <f t="shared" si="219"/>
        <v>0</v>
      </c>
      <c r="I682" s="132">
        <f t="shared" si="220"/>
        <v>0</v>
      </c>
      <c r="J682" s="132">
        <v>1</v>
      </c>
      <c r="K682" s="132">
        <f t="shared" si="221"/>
        <v>0.04</v>
      </c>
      <c r="M682" s="133" t="s">
        <v>1101</v>
      </c>
      <c r="N682" s="132">
        <f t="shared" si="222"/>
        <v>0</v>
      </c>
      <c r="Y682" s="132">
        <f t="shared" si="223"/>
        <v>0</v>
      </c>
      <c r="Z682" s="132">
        <f t="shared" si="224"/>
        <v>0</v>
      </c>
      <c r="AA682" s="132">
        <f t="shared" si="225"/>
        <v>0</v>
      </c>
      <c r="AC682" s="125">
        <v>20</v>
      </c>
      <c r="AD682" s="125">
        <f t="shared" si="226"/>
        <v>0</v>
      </c>
      <c r="AE682" s="125">
        <f t="shared" si="227"/>
        <v>0</v>
      </c>
    </row>
    <row r="683" spans="1:31" s="90" customFormat="1" ht="11.25">
      <c r="A683" s="131" t="s">
        <v>538</v>
      </c>
      <c r="B683" s="131" t="s">
        <v>1611</v>
      </c>
      <c r="C683" s="131" t="s">
        <v>2786</v>
      </c>
      <c r="D683" s="131" t="s">
        <v>3461</v>
      </c>
      <c r="E683" s="132">
        <v>0.01</v>
      </c>
      <c r="F683" s="132">
        <v>0</v>
      </c>
      <c r="G683" s="132">
        <f t="shared" si="218"/>
        <v>0</v>
      </c>
      <c r="H683" s="132">
        <f t="shared" si="219"/>
        <v>0</v>
      </c>
      <c r="I683" s="132">
        <f t="shared" si="220"/>
        <v>0</v>
      </c>
      <c r="J683" s="132">
        <v>1</v>
      </c>
      <c r="K683" s="132">
        <f t="shared" si="221"/>
        <v>0.01</v>
      </c>
      <c r="M683" s="133" t="s">
        <v>1101</v>
      </c>
      <c r="N683" s="132">
        <f t="shared" si="222"/>
        <v>0</v>
      </c>
      <c r="Y683" s="132">
        <f t="shared" si="223"/>
        <v>0</v>
      </c>
      <c r="Z683" s="132">
        <f t="shared" si="224"/>
        <v>0</v>
      </c>
      <c r="AA683" s="132">
        <f t="shared" si="225"/>
        <v>0</v>
      </c>
      <c r="AC683" s="125">
        <v>20</v>
      </c>
      <c r="AD683" s="125">
        <f t="shared" si="226"/>
        <v>0</v>
      </c>
      <c r="AE683" s="125">
        <f t="shared" si="227"/>
        <v>0</v>
      </c>
    </row>
    <row r="684" spans="1:31" s="90" customFormat="1" ht="11.25">
      <c r="A684" s="131" t="s">
        <v>539</v>
      </c>
      <c r="B684" s="131" t="s">
        <v>1612</v>
      </c>
      <c r="C684" s="131" t="s">
        <v>2787</v>
      </c>
      <c r="D684" s="131" t="s">
        <v>3455</v>
      </c>
      <c r="E684" s="132">
        <v>16.16</v>
      </c>
      <c r="F684" s="132">
        <v>0</v>
      </c>
      <c r="G684" s="132">
        <f t="shared" si="218"/>
        <v>0</v>
      </c>
      <c r="H684" s="132">
        <f t="shared" si="219"/>
        <v>0</v>
      </c>
      <c r="I684" s="132">
        <f t="shared" si="220"/>
        <v>0</v>
      </c>
      <c r="J684" s="132">
        <v>0.00967</v>
      </c>
      <c r="K684" s="132">
        <f t="shared" si="221"/>
        <v>0.1562672</v>
      </c>
      <c r="M684" s="133" t="s">
        <v>1101</v>
      </c>
      <c r="N684" s="132">
        <f t="shared" si="222"/>
        <v>0</v>
      </c>
      <c r="Y684" s="132">
        <f t="shared" si="223"/>
        <v>0</v>
      </c>
      <c r="Z684" s="132">
        <f t="shared" si="224"/>
        <v>0</v>
      </c>
      <c r="AA684" s="132">
        <f t="shared" si="225"/>
        <v>0</v>
      </c>
      <c r="AC684" s="125">
        <v>20</v>
      </c>
      <c r="AD684" s="125">
        <f t="shared" si="226"/>
        <v>0</v>
      </c>
      <c r="AE684" s="125">
        <f t="shared" si="227"/>
        <v>0</v>
      </c>
    </row>
    <row r="685" spans="1:31" s="90" customFormat="1" ht="11.25">
      <c r="A685" s="131" t="s">
        <v>540</v>
      </c>
      <c r="B685" s="131" t="s">
        <v>1613</v>
      </c>
      <c r="C685" s="131" t="s">
        <v>2788</v>
      </c>
      <c r="D685" s="131" t="s">
        <v>3455</v>
      </c>
      <c r="E685" s="132">
        <v>8.08</v>
      </c>
      <c r="F685" s="132">
        <v>0</v>
      </c>
      <c r="G685" s="132">
        <f t="shared" si="218"/>
        <v>0</v>
      </c>
      <c r="H685" s="132">
        <f t="shared" si="219"/>
        <v>0</v>
      </c>
      <c r="I685" s="132">
        <f t="shared" si="220"/>
        <v>0</v>
      </c>
      <c r="J685" s="132">
        <v>0.0158</v>
      </c>
      <c r="K685" s="132">
        <f t="shared" si="221"/>
        <v>0.12766400000000003</v>
      </c>
      <c r="M685" s="133" t="s">
        <v>1101</v>
      </c>
      <c r="N685" s="132">
        <f t="shared" si="222"/>
        <v>0</v>
      </c>
      <c r="Y685" s="132">
        <f t="shared" si="223"/>
        <v>0</v>
      </c>
      <c r="Z685" s="132">
        <f t="shared" si="224"/>
        <v>0</v>
      </c>
      <c r="AA685" s="132">
        <f t="shared" si="225"/>
        <v>0</v>
      </c>
      <c r="AC685" s="125">
        <v>20</v>
      </c>
      <c r="AD685" s="125">
        <f t="shared" si="226"/>
        <v>0</v>
      </c>
      <c r="AE685" s="125">
        <f t="shared" si="227"/>
        <v>0</v>
      </c>
    </row>
    <row r="686" spans="1:31" s="90" customFormat="1" ht="11.25">
      <c r="A686" s="131" t="s">
        <v>541</v>
      </c>
      <c r="B686" s="131" t="s">
        <v>1614</v>
      </c>
      <c r="C686" s="131" t="s">
        <v>2789</v>
      </c>
      <c r="D686" s="131" t="s">
        <v>3455</v>
      </c>
      <c r="E686" s="132">
        <v>2.54</v>
      </c>
      <c r="F686" s="132">
        <v>0</v>
      </c>
      <c r="G686" s="132">
        <f t="shared" si="218"/>
        <v>0</v>
      </c>
      <c r="H686" s="132">
        <f t="shared" si="219"/>
        <v>0</v>
      </c>
      <c r="I686" s="132">
        <f t="shared" si="220"/>
        <v>0</v>
      </c>
      <c r="J686" s="132">
        <v>0.01578</v>
      </c>
      <c r="K686" s="132">
        <f t="shared" si="221"/>
        <v>0.0400812</v>
      </c>
      <c r="M686" s="133" t="s">
        <v>1101</v>
      </c>
      <c r="N686" s="132">
        <f t="shared" si="222"/>
        <v>0</v>
      </c>
      <c r="Y686" s="132">
        <f t="shared" si="223"/>
        <v>0</v>
      </c>
      <c r="Z686" s="132">
        <f t="shared" si="224"/>
        <v>0</v>
      </c>
      <c r="AA686" s="132">
        <f t="shared" si="225"/>
        <v>0</v>
      </c>
      <c r="AC686" s="125">
        <v>20</v>
      </c>
      <c r="AD686" s="125">
        <f t="shared" si="226"/>
        <v>0</v>
      </c>
      <c r="AE686" s="125">
        <f t="shared" si="227"/>
        <v>0</v>
      </c>
    </row>
    <row r="687" spans="1:31" s="90" customFormat="1" ht="11.25">
      <c r="A687" s="131" t="s">
        <v>542</v>
      </c>
      <c r="B687" s="131" t="s">
        <v>1615</v>
      </c>
      <c r="C687" s="131" t="s">
        <v>2790</v>
      </c>
      <c r="D687" s="131" t="s">
        <v>3455</v>
      </c>
      <c r="E687" s="132">
        <v>0.45</v>
      </c>
      <c r="F687" s="132">
        <v>0</v>
      </c>
      <c r="G687" s="132">
        <f t="shared" si="218"/>
        <v>0</v>
      </c>
      <c r="H687" s="132">
        <f t="shared" si="219"/>
        <v>0</v>
      </c>
      <c r="I687" s="132">
        <f t="shared" si="220"/>
        <v>0</v>
      </c>
      <c r="J687" s="132">
        <v>0.0303</v>
      </c>
      <c r="K687" s="132">
        <f t="shared" si="221"/>
        <v>0.013635000000000001</v>
      </c>
      <c r="M687" s="133" t="s">
        <v>1101</v>
      </c>
      <c r="N687" s="132">
        <f t="shared" si="222"/>
        <v>0</v>
      </c>
      <c r="Y687" s="132">
        <f t="shared" si="223"/>
        <v>0</v>
      </c>
      <c r="Z687" s="132">
        <f t="shared" si="224"/>
        <v>0</v>
      </c>
      <c r="AA687" s="132">
        <f t="shared" si="225"/>
        <v>0</v>
      </c>
      <c r="AC687" s="125">
        <v>20</v>
      </c>
      <c r="AD687" s="125">
        <f t="shared" si="226"/>
        <v>0</v>
      </c>
      <c r="AE687" s="125">
        <f t="shared" si="227"/>
        <v>0</v>
      </c>
    </row>
    <row r="688" spans="1:31" s="90" customFormat="1" ht="11.25">
      <c r="A688" s="131" t="s">
        <v>543</v>
      </c>
      <c r="B688" s="131" t="s">
        <v>1616</v>
      </c>
      <c r="C688" s="131" t="s">
        <v>2791</v>
      </c>
      <c r="D688" s="131" t="s">
        <v>3455</v>
      </c>
      <c r="E688" s="132">
        <v>24</v>
      </c>
      <c r="F688" s="132">
        <v>0</v>
      </c>
      <c r="G688" s="132">
        <f t="shared" si="218"/>
        <v>0</v>
      </c>
      <c r="H688" s="132">
        <f t="shared" si="219"/>
        <v>0</v>
      </c>
      <c r="I688" s="132">
        <f t="shared" si="220"/>
        <v>0</v>
      </c>
      <c r="J688" s="132">
        <v>0.03305</v>
      </c>
      <c r="K688" s="132">
        <f t="shared" si="221"/>
        <v>0.7932000000000001</v>
      </c>
      <c r="M688" s="133" t="s">
        <v>1101</v>
      </c>
      <c r="N688" s="132">
        <f t="shared" si="222"/>
        <v>0</v>
      </c>
      <c r="Y688" s="132">
        <f t="shared" si="223"/>
        <v>0</v>
      </c>
      <c r="Z688" s="132">
        <f t="shared" si="224"/>
        <v>0</v>
      </c>
      <c r="AA688" s="132">
        <f t="shared" si="225"/>
        <v>0</v>
      </c>
      <c r="AC688" s="125">
        <v>20</v>
      </c>
      <c r="AD688" s="125">
        <f t="shared" si="226"/>
        <v>0</v>
      </c>
      <c r="AE688" s="125">
        <f t="shared" si="227"/>
        <v>0</v>
      </c>
    </row>
    <row r="689" spans="1:31" s="90" customFormat="1" ht="11.25">
      <c r="A689" s="131" t="s">
        <v>544</v>
      </c>
      <c r="B689" s="131" t="s">
        <v>1617</v>
      </c>
      <c r="C689" s="131" t="s">
        <v>2792</v>
      </c>
      <c r="D689" s="131" t="s">
        <v>3456</v>
      </c>
      <c r="E689" s="132">
        <v>1</v>
      </c>
      <c r="F689" s="132">
        <v>0</v>
      </c>
      <c r="G689" s="132">
        <f t="shared" si="218"/>
        <v>0</v>
      </c>
      <c r="H689" s="132">
        <f t="shared" si="219"/>
        <v>0</v>
      </c>
      <c r="I689" s="132">
        <f t="shared" si="220"/>
        <v>0</v>
      </c>
      <c r="J689" s="132">
        <v>0.17</v>
      </c>
      <c r="K689" s="132">
        <f t="shared" si="221"/>
        <v>0.17</v>
      </c>
      <c r="M689" s="133" t="s">
        <v>1101</v>
      </c>
      <c r="N689" s="132">
        <f t="shared" si="222"/>
        <v>0</v>
      </c>
      <c r="Y689" s="132">
        <f t="shared" si="223"/>
        <v>0</v>
      </c>
      <c r="Z689" s="132">
        <f t="shared" si="224"/>
        <v>0</v>
      </c>
      <c r="AA689" s="132">
        <f t="shared" si="225"/>
        <v>0</v>
      </c>
      <c r="AC689" s="125">
        <v>20</v>
      </c>
      <c r="AD689" s="125">
        <f t="shared" si="226"/>
        <v>0</v>
      </c>
      <c r="AE689" s="125">
        <f t="shared" si="227"/>
        <v>0</v>
      </c>
    </row>
    <row r="690" spans="1:31" s="90" customFormat="1" ht="11.25">
      <c r="A690" s="131" t="s">
        <v>545</v>
      </c>
      <c r="B690" s="131" t="s">
        <v>1618</v>
      </c>
      <c r="C690" s="131" t="s">
        <v>2793</v>
      </c>
      <c r="D690" s="131" t="s">
        <v>3456</v>
      </c>
      <c r="E690" s="132">
        <v>1</v>
      </c>
      <c r="F690" s="132">
        <v>0</v>
      </c>
      <c r="G690" s="132">
        <f t="shared" si="218"/>
        <v>0</v>
      </c>
      <c r="H690" s="132">
        <f t="shared" si="219"/>
        <v>0</v>
      </c>
      <c r="I690" s="132">
        <f t="shared" si="220"/>
        <v>0</v>
      </c>
      <c r="J690" s="132">
        <v>0.0426</v>
      </c>
      <c r="K690" s="132">
        <f t="shared" si="221"/>
        <v>0.0426</v>
      </c>
      <c r="M690" s="133" t="s">
        <v>1101</v>
      </c>
      <c r="N690" s="132">
        <f t="shared" si="222"/>
        <v>0</v>
      </c>
      <c r="Y690" s="132">
        <f t="shared" si="223"/>
        <v>0</v>
      </c>
      <c r="Z690" s="132">
        <f t="shared" si="224"/>
        <v>0</v>
      </c>
      <c r="AA690" s="132">
        <f t="shared" si="225"/>
        <v>0</v>
      </c>
      <c r="AC690" s="125">
        <v>20</v>
      </c>
      <c r="AD690" s="125">
        <f t="shared" si="226"/>
        <v>0</v>
      </c>
      <c r="AE690" s="125">
        <f t="shared" si="227"/>
        <v>0</v>
      </c>
    </row>
    <row r="691" spans="1:31" s="90" customFormat="1" ht="11.25">
      <c r="A691" s="131" t="s">
        <v>546</v>
      </c>
      <c r="B691" s="131" t="s">
        <v>1619</v>
      </c>
      <c r="C691" s="131" t="s">
        <v>2794</v>
      </c>
      <c r="D691" s="131" t="s">
        <v>3456</v>
      </c>
      <c r="E691" s="132">
        <v>1</v>
      </c>
      <c r="F691" s="132">
        <v>0</v>
      </c>
      <c r="G691" s="132">
        <f t="shared" si="218"/>
        <v>0</v>
      </c>
      <c r="H691" s="132">
        <f t="shared" si="219"/>
        <v>0</v>
      </c>
      <c r="I691" s="132">
        <f t="shared" si="220"/>
        <v>0</v>
      </c>
      <c r="J691" s="132">
        <v>0.0516</v>
      </c>
      <c r="K691" s="132">
        <f t="shared" si="221"/>
        <v>0.0516</v>
      </c>
      <c r="M691" s="133" t="s">
        <v>1101</v>
      </c>
      <c r="N691" s="132">
        <f t="shared" si="222"/>
        <v>0</v>
      </c>
      <c r="Y691" s="132">
        <f t="shared" si="223"/>
        <v>0</v>
      </c>
      <c r="Z691" s="132">
        <f t="shared" si="224"/>
        <v>0</v>
      </c>
      <c r="AA691" s="132">
        <f t="shared" si="225"/>
        <v>0</v>
      </c>
      <c r="AC691" s="125">
        <v>20</v>
      </c>
      <c r="AD691" s="125">
        <f t="shared" si="226"/>
        <v>0</v>
      </c>
      <c r="AE691" s="125">
        <f t="shared" si="227"/>
        <v>0</v>
      </c>
    </row>
    <row r="692" spans="1:31" s="90" customFormat="1" ht="11.25">
      <c r="A692" s="131" t="s">
        <v>547</v>
      </c>
      <c r="B692" s="131" t="s">
        <v>1620</v>
      </c>
      <c r="C692" s="131" t="s">
        <v>2795</v>
      </c>
      <c r="D692" s="131" t="s">
        <v>3456</v>
      </c>
      <c r="E692" s="132">
        <v>1</v>
      </c>
      <c r="F692" s="132">
        <v>0</v>
      </c>
      <c r="G692" s="132">
        <f t="shared" si="218"/>
        <v>0</v>
      </c>
      <c r="H692" s="132">
        <f t="shared" si="219"/>
        <v>0</v>
      </c>
      <c r="I692" s="132">
        <f t="shared" si="220"/>
        <v>0</v>
      </c>
      <c r="J692" s="132">
        <v>0.4795</v>
      </c>
      <c r="K692" s="132">
        <f t="shared" si="221"/>
        <v>0.4795</v>
      </c>
      <c r="M692" s="133" t="s">
        <v>1101</v>
      </c>
      <c r="N692" s="132">
        <f t="shared" si="222"/>
        <v>0</v>
      </c>
      <c r="Y692" s="132">
        <f t="shared" si="223"/>
        <v>0</v>
      </c>
      <c r="Z692" s="132">
        <f t="shared" si="224"/>
        <v>0</v>
      </c>
      <c r="AA692" s="132">
        <f t="shared" si="225"/>
        <v>0</v>
      </c>
      <c r="AC692" s="125">
        <v>20</v>
      </c>
      <c r="AD692" s="125">
        <f t="shared" si="226"/>
        <v>0</v>
      </c>
      <c r="AE692" s="125">
        <f t="shared" si="227"/>
        <v>0</v>
      </c>
    </row>
    <row r="693" spans="1:31" s="90" customFormat="1" ht="11.25">
      <c r="A693" s="131" t="s">
        <v>548</v>
      </c>
      <c r="B693" s="131" t="s">
        <v>1621</v>
      </c>
      <c r="C693" s="131" t="s">
        <v>2796</v>
      </c>
      <c r="D693" s="131" t="s">
        <v>3456</v>
      </c>
      <c r="E693" s="132">
        <v>1</v>
      </c>
      <c r="F693" s="132">
        <v>0</v>
      </c>
      <c r="G693" s="132">
        <f t="shared" si="218"/>
        <v>0</v>
      </c>
      <c r="H693" s="132">
        <f t="shared" si="219"/>
        <v>0</v>
      </c>
      <c r="I693" s="132">
        <f t="shared" si="220"/>
        <v>0</v>
      </c>
      <c r="J693" s="132">
        <v>0.5385</v>
      </c>
      <c r="K693" s="132">
        <f t="shared" si="221"/>
        <v>0.5385</v>
      </c>
      <c r="M693" s="133" t="s">
        <v>1101</v>
      </c>
      <c r="N693" s="132">
        <f t="shared" si="222"/>
        <v>0</v>
      </c>
      <c r="Y693" s="132">
        <f t="shared" si="223"/>
        <v>0</v>
      </c>
      <c r="Z693" s="132">
        <f t="shared" si="224"/>
        <v>0</v>
      </c>
      <c r="AA693" s="132">
        <f t="shared" si="225"/>
        <v>0</v>
      </c>
      <c r="AC693" s="125">
        <v>20</v>
      </c>
      <c r="AD693" s="125">
        <f t="shared" si="226"/>
        <v>0</v>
      </c>
      <c r="AE693" s="125">
        <f t="shared" si="227"/>
        <v>0</v>
      </c>
    </row>
    <row r="694" spans="1:31" s="90" customFormat="1" ht="11.25">
      <c r="A694" s="131" t="s">
        <v>549</v>
      </c>
      <c r="B694" s="131" t="s">
        <v>1622</v>
      </c>
      <c r="C694" s="131" t="s">
        <v>2797</v>
      </c>
      <c r="D694" s="131" t="s">
        <v>3456</v>
      </c>
      <c r="E694" s="132">
        <v>2</v>
      </c>
      <c r="F694" s="132">
        <v>0</v>
      </c>
      <c r="G694" s="132">
        <f t="shared" si="218"/>
        <v>0</v>
      </c>
      <c r="H694" s="132">
        <f t="shared" si="219"/>
        <v>0</v>
      </c>
      <c r="I694" s="132">
        <f t="shared" si="220"/>
        <v>0</v>
      </c>
      <c r="J694" s="132">
        <v>0.5698</v>
      </c>
      <c r="K694" s="132">
        <f t="shared" si="221"/>
        <v>1.1396</v>
      </c>
      <c r="M694" s="133" t="s">
        <v>1101</v>
      </c>
      <c r="N694" s="132">
        <f t="shared" si="222"/>
        <v>0</v>
      </c>
      <c r="Y694" s="132">
        <f t="shared" si="223"/>
        <v>0</v>
      </c>
      <c r="Z694" s="132">
        <f t="shared" si="224"/>
        <v>0</v>
      </c>
      <c r="AA694" s="132">
        <f t="shared" si="225"/>
        <v>0</v>
      </c>
      <c r="AC694" s="125">
        <v>20</v>
      </c>
      <c r="AD694" s="125">
        <f t="shared" si="226"/>
        <v>0</v>
      </c>
      <c r="AE694" s="125">
        <f t="shared" si="227"/>
        <v>0</v>
      </c>
    </row>
    <row r="695" spans="1:31" s="90" customFormat="1" ht="11.25">
      <c r="A695" s="131" t="s">
        <v>550</v>
      </c>
      <c r="B695" s="131" t="s">
        <v>1622</v>
      </c>
      <c r="C695" s="131" t="s">
        <v>2798</v>
      </c>
      <c r="D695" s="131" t="s">
        <v>3456</v>
      </c>
      <c r="E695" s="132">
        <v>5</v>
      </c>
      <c r="F695" s="132">
        <v>0</v>
      </c>
      <c r="G695" s="132">
        <f t="shared" si="218"/>
        <v>0</v>
      </c>
      <c r="H695" s="132">
        <f t="shared" si="219"/>
        <v>0</v>
      </c>
      <c r="I695" s="132">
        <f t="shared" si="220"/>
        <v>0</v>
      </c>
      <c r="J695" s="132">
        <v>0.5698</v>
      </c>
      <c r="K695" s="132">
        <f t="shared" si="221"/>
        <v>2.8489999999999998</v>
      </c>
      <c r="M695" s="133" t="s">
        <v>1101</v>
      </c>
      <c r="N695" s="132">
        <f t="shared" si="222"/>
        <v>0</v>
      </c>
      <c r="Y695" s="132">
        <f t="shared" si="223"/>
        <v>0</v>
      </c>
      <c r="Z695" s="132">
        <f t="shared" si="224"/>
        <v>0</v>
      </c>
      <c r="AA695" s="132">
        <f t="shared" si="225"/>
        <v>0</v>
      </c>
      <c r="AC695" s="125">
        <v>20</v>
      </c>
      <c r="AD695" s="125">
        <f t="shared" si="226"/>
        <v>0</v>
      </c>
      <c r="AE695" s="125">
        <f t="shared" si="227"/>
        <v>0</v>
      </c>
    </row>
    <row r="696" spans="1:31" s="90" customFormat="1" ht="11.25">
      <c r="A696" s="131" t="s">
        <v>551</v>
      </c>
      <c r="B696" s="131" t="s">
        <v>1623</v>
      </c>
      <c r="C696" s="131" t="s">
        <v>2799</v>
      </c>
      <c r="D696" s="131" t="s">
        <v>3455</v>
      </c>
      <c r="E696" s="132">
        <v>19.6</v>
      </c>
      <c r="F696" s="132">
        <v>0</v>
      </c>
      <c r="G696" s="132">
        <f t="shared" si="218"/>
        <v>0</v>
      </c>
      <c r="H696" s="132">
        <f t="shared" si="219"/>
        <v>0</v>
      </c>
      <c r="I696" s="132">
        <f t="shared" si="220"/>
        <v>0</v>
      </c>
      <c r="J696" s="132">
        <v>0.012</v>
      </c>
      <c r="K696" s="132">
        <f t="shared" si="221"/>
        <v>0.23520000000000002</v>
      </c>
      <c r="M696" s="133" t="s">
        <v>1101</v>
      </c>
      <c r="N696" s="132">
        <f t="shared" si="222"/>
        <v>0</v>
      </c>
      <c r="Y696" s="132">
        <f t="shared" si="223"/>
        <v>0</v>
      </c>
      <c r="Z696" s="132">
        <f t="shared" si="224"/>
        <v>0</v>
      </c>
      <c r="AA696" s="132">
        <f t="shared" si="225"/>
        <v>0</v>
      </c>
      <c r="AC696" s="125">
        <v>20</v>
      </c>
      <c r="AD696" s="125">
        <f t="shared" si="226"/>
        <v>0</v>
      </c>
      <c r="AE696" s="125">
        <f t="shared" si="227"/>
        <v>0</v>
      </c>
    </row>
    <row r="697" spans="1:31" s="90" customFormat="1" ht="11.25">
      <c r="A697" s="122" t="s">
        <v>552</v>
      </c>
      <c r="B697" s="122" t="s">
        <v>1624</v>
      </c>
      <c r="C697" s="122" t="s">
        <v>2800</v>
      </c>
      <c r="D697" s="122" t="s">
        <v>3459</v>
      </c>
      <c r="E697" s="123">
        <v>5.25</v>
      </c>
      <c r="F697" s="123">
        <v>0</v>
      </c>
      <c r="G697" s="123">
        <f t="shared" si="218"/>
        <v>0</v>
      </c>
      <c r="H697" s="123">
        <f t="shared" si="219"/>
        <v>0</v>
      </c>
      <c r="I697" s="123">
        <f t="shared" si="220"/>
        <v>0</v>
      </c>
      <c r="J697" s="123">
        <v>3E-05</v>
      </c>
      <c r="K697" s="123">
        <f t="shared" si="221"/>
        <v>0.0001575</v>
      </c>
      <c r="M697" s="124" t="s">
        <v>9</v>
      </c>
      <c r="N697" s="123">
        <f t="shared" si="222"/>
        <v>0</v>
      </c>
      <c r="Y697" s="123">
        <f t="shared" si="223"/>
        <v>0</v>
      </c>
      <c r="Z697" s="123">
        <f t="shared" si="224"/>
        <v>0</v>
      </c>
      <c r="AA697" s="123">
        <f t="shared" si="225"/>
        <v>0</v>
      </c>
      <c r="AC697" s="125">
        <v>20</v>
      </c>
      <c r="AD697" s="125">
        <f>F697*0.00470247784409477</f>
        <v>0</v>
      </c>
      <c r="AE697" s="125">
        <f>F697*(1-0.00470247784409477)</f>
        <v>0</v>
      </c>
    </row>
    <row r="698" s="90" customFormat="1" ht="11.25">
      <c r="C698" s="126" t="s">
        <v>2801</v>
      </c>
    </row>
    <row r="699" spans="1:31" s="90" customFormat="1" ht="11.25">
      <c r="A699" s="122" t="s">
        <v>553</v>
      </c>
      <c r="B699" s="122" t="s">
        <v>1625</v>
      </c>
      <c r="C699" s="122" t="s">
        <v>2802</v>
      </c>
      <c r="D699" s="122" t="s">
        <v>3455</v>
      </c>
      <c r="E699" s="123">
        <v>19.6</v>
      </c>
      <c r="F699" s="123">
        <v>0</v>
      </c>
      <c r="G699" s="123">
        <f>ROUND(E699*AD699,2)</f>
        <v>0</v>
      </c>
      <c r="H699" s="123">
        <f>I699-G699</f>
        <v>0</v>
      </c>
      <c r="I699" s="123">
        <f>ROUND(E699*F699,2)</f>
        <v>0</v>
      </c>
      <c r="J699" s="123">
        <v>6E-05</v>
      </c>
      <c r="K699" s="123">
        <f>E699*J699</f>
        <v>0.0011760000000000002</v>
      </c>
      <c r="M699" s="124" t="s">
        <v>7</v>
      </c>
      <c r="N699" s="123">
        <f>IF(M699="5",H699,0)</f>
        <v>0</v>
      </c>
      <c r="Y699" s="123">
        <f>IF(AC699=0,I699,0)</f>
        <v>0</v>
      </c>
      <c r="Z699" s="123">
        <f>IF(AC699=14,I699,0)</f>
        <v>0</v>
      </c>
      <c r="AA699" s="123">
        <f>IF(AC699=20,I699,0)</f>
        <v>0</v>
      </c>
      <c r="AC699" s="125">
        <v>20</v>
      </c>
      <c r="AD699" s="125">
        <f>F699*0.0490215264187867</f>
        <v>0</v>
      </c>
      <c r="AE699" s="125">
        <f>F699*(1-0.0490215264187867)</f>
        <v>0</v>
      </c>
    </row>
    <row r="700" spans="1:31" s="90" customFormat="1" ht="11.25">
      <c r="A700" s="122" t="s">
        <v>554</v>
      </c>
      <c r="B700" s="122" t="s">
        <v>1626</v>
      </c>
      <c r="C700" s="122" t="s">
        <v>2803</v>
      </c>
      <c r="D700" s="122" t="s">
        <v>3456</v>
      </c>
      <c r="E700" s="123">
        <v>1</v>
      </c>
      <c r="F700" s="123">
        <v>0</v>
      </c>
      <c r="G700" s="123">
        <f>ROUND(E700*AD700,2)</f>
        <v>0</v>
      </c>
      <c r="H700" s="123">
        <f>I700-G700</f>
        <v>0</v>
      </c>
      <c r="I700" s="123">
        <f>ROUND(E700*F700,2)</f>
        <v>0</v>
      </c>
      <c r="J700" s="123">
        <v>0.0427</v>
      </c>
      <c r="K700" s="123">
        <f>E700*J700</f>
        <v>0.0427</v>
      </c>
      <c r="M700" s="124" t="s">
        <v>9</v>
      </c>
      <c r="N700" s="123">
        <f>IF(M700="5",H700,0)</f>
        <v>0</v>
      </c>
      <c r="Y700" s="123">
        <f>IF(AC700=0,I700,0)</f>
        <v>0</v>
      </c>
      <c r="Z700" s="123">
        <f>IF(AC700=14,I700,0)</f>
        <v>0</v>
      </c>
      <c r="AA700" s="123">
        <f>IF(AC700=20,I700,0)</f>
        <v>0</v>
      </c>
      <c r="AC700" s="125">
        <v>20</v>
      </c>
      <c r="AD700" s="125">
        <f>F700*0.909794282660967</f>
        <v>0</v>
      </c>
      <c r="AE700" s="125">
        <f>F700*(1-0.909794282660967)</f>
        <v>0</v>
      </c>
    </row>
    <row r="701" spans="1:31" s="90" customFormat="1" ht="11.25">
      <c r="A701" s="122" t="s">
        <v>555</v>
      </c>
      <c r="B701" s="122" t="s">
        <v>1627</v>
      </c>
      <c r="C701" s="122" t="s">
        <v>2804</v>
      </c>
      <c r="D701" s="122" t="s">
        <v>3456</v>
      </c>
      <c r="E701" s="123">
        <v>1</v>
      </c>
      <c r="F701" s="123">
        <v>0</v>
      </c>
      <c r="G701" s="123">
        <f>ROUND(E701*AD701,2)</f>
        <v>0</v>
      </c>
      <c r="H701" s="123">
        <f>I701-G701</f>
        <v>0</v>
      </c>
      <c r="I701" s="123">
        <f>ROUND(E701*F701,2)</f>
        <v>0</v>
      </c>
      <c r="J701" s="123">
        <v>0.0516</v>
      </c>
      <c r="K701" s="123">
        <f>E701*J701</f>
        <v>0.0516</v>
      </c>
      <c r="M701" s="124" t="s">
        <v>9</v>
      </c>
      <c r="N701" s="123">
        <f>IF(M701="5",H701,0)</f>
        <v>0</v>
      </c>
      <c r="Y701" s="123">
        <f>IF(AC701=0,I701,0)</f>
        <v>0</v>
      </c>
      <c r="Z701" s="123">
        <f>IF(AC701=14,I701,0)</f>
        <v>0</v>
      </c>
      <c r="AA701" s="123">
        <f>IF(AC701=20,I701,0)</f>
        <v>0</v>
      </c>
      <c r="AC701" s="125">
        <v>20</v>
      </c>
      <c r="AD701" s="125">
        <f>F701*0.900347006959776</f>
        <v>0</v>
      </c>
      <c r="AE701" s="125">
        <f>F701*(1-0.900347006959776)</f>
        <v>0</v>
      </c>
    </row>
    <row r="702" spans="1:31" s="90" customFormat="1" ht="11.25">
      <c r="A702" s="122" t="s">
        <v>556</v>
      </c>
      <c r="B702" s="122" t="s">
        <v>1628</v>
      </c>
      <c r="C702" s="122" t="s">
        <v>2805</v>
      </c>
      <c r="D702" s="122" t="s">
        <v>3456</v>
      </c>
      <c r="E702" s="123">
        <v>1</v>
      </c>
      <c r="F702" s="123">
        <v>0</v>
      </c>
      <c r="G702" s="123">
        <f>ROUND(E702*AD702,2)</f>
        <v>0</v>
      </c>
      <c r="H702" s="123">
        <f>I702-G702</f>
        <v>0</v>
      </c>
      <c r="I702" s="123">
        <f>ROUND(E702*F702,2)</f>
        <v>0</v>
      </c>
      <c r="J702" s="123">
        <v>0.0703</v>
      </c>
      <c r="K702" s="123">
        <f>E702*J702</f>
        <v>0.0703</v>
      </c>
      <c r="M702" s="124" t="s">
        <v>9</v>
      </c>
      <c r="N702" s="123">
        <f>IF(M702="5",H702,0)</f>
        <v>0</v>
      </c>
      <c r="Y702" s="123">
        <f>IF(AC702=0,I702,0)</f>
        <v>0</v>
      </c>
      <c r="Z702" s="123">
        <f>IF(AC702=14,I702,0)</f>
        <v>0</v>
      </c>
      <c r="AA702" s="123">
        <f>IF(AC702=20,I702,0)</f>
        <v>0</v>
      </c>
      <c r="AC702" s="125">
        <v>20</v>
      </c>
      <c r="AD702" s="125">
        <f>F702*0.921106018014719</f>
        <v>0</v>
      </c>
      <c r="AE702" s="125">
        <f>F702*(1-0.921106018014719)</f>
        <v>0</v>
      </c>
    </row>
    <row r="703" spans="1:31" s="90" customFormat="1" ht="11.25">
      <c r="A703" s="122" t="s">
        <v>557</v>
      </c>
      <c r="B703" s="122" t="s">
        <v>1629</v>
      </c>
      <c r="C703" s="122" t="s">
        <v>2806</v>
      </c>
      <c r="D703" s="122" t="s">
        <v>3456</v>
      </c>
      <c r="E703" s="123">
        <v>7</v>
      </c>
      <c r="F703" s="123">
        <v>0</v>
      </c>
      <c r="G703" s="123">
        <f>ROUND(E703*AD703,2)</f>
        <v>0</v>
      </c>
      <c r="H703" s="123">
        <f>I703-G703</f>
        <v>0</v>
      </c>
      <c r="I703" s="123">
        <f>ROUND(E703*F703,2)</f>
        <v>0</v>
      </c>
      <c r="J703" s="123">
        <v>0.05543</v>
      </c>
      <c r="K703" s="123">
        <f>E703*J703</f>
        <v>0.38801</v>
      </c>
      <c r="M703" s="124" t="s">
        <v>9</v>
      </c>
      <c r="N703" s="123">
        <f>IF(M703="5",H703,0)</f>
        <v>0</v>
      </c>
      <c r="Y703" s="123">
        <f>IF(AC703=0,I703,0)</f>
        <v>0</v>
      </c>
      <c r="Z703" s="123">
        <f>IF(AC703=14,I703,0)</f>
        <v>0</v>
      </c>
      <c r="AA703" s="123">
        <f>IF(AC703=20,I703,0)</f>
        <v>0</v>
      </c>
      <c r="AC703" s="125">
        <v>20</v>
      </c>
      <c r="AD703" s="125">
        <f>F703*0.889700494674359</f>
        <v>0</v>
      </c>
      <c r="AE703" s="125">
        <f>F703*(1-0.889700494674359)</f>
        <v>0</v>
      </c>
    </row>
    <row r="704" s="90" customFormat="1" ht="11.25">
      <c r="C704" s="126" t="s">
        <v>2807</v>
      </c>
    </row>
    <row r="705" spans="1:31" s="90" customFormat="1" ht="11.25">
      <c r="A705" s="122" t="s">
        <v>558</v>
      </c>
      <c r="B705" s="122" t="s">
        <v>1630</v>
      </c>
      <c r="C705" s="122" t="s">
        <v>2808</v>
      </c>
      <c r="D705" s="122" t="s">
        <v>3456</v>
      </c>
      <c r="E705" s="123">
        <v>5</v>
      </c>
      <c r="F705" s="123">
        <v>0</v>
      </c>
      <c r="G705" s="123">
        <f>ROUND(E705*AD705,2)</f>
        <v>0</v>
      </c>
      <c r="H705" s="123">
        <f>I705-G705</f>
        <v>0</v>
      </c>
      <c r="I705" s="123">
        <f>ROUND(E705*F705,2)</f>
        <v>0</v>
      </c>
      <c r="J705" s="123">
        <v>0.05747</v>
      </c>
      <c r="K705" s="123">
        <f>E705*J705</f>
        <v>0.28735</v>
      </c>
      <c r="M705" s="124" t="s">
        <v>9</v>
      </c>
      <c r="N705" s="123">
        <f>IF(M705="5",H705,0)</f>
        <v>0</v>
      </c>
      <c r="Y705" s="123">
        <f>IF(AC705=0,I705,0)</f>
        <v>0</v>
      </c>
      <c r="Z705" s="123">
        <f>IF(AC705=14,I705,0)</f>
        <v>0</v>
      </c>
      <c r="AA705" s="123">
        <f>IF(AC705=20,I705,0)</f>
        <v>0</v>
      </c>
      <c r="AC705" s="125">
        <v>20</v>
      </c>
      <c r="AD705" s="125">
        <f>F705*0.884182899126195</f>
        <v>0</v>
      </c>
      <c r="AE705" s="125">
        <f>F705*(1-0.884182899126195)</f>
        <v>0</v>
      </c>
    </row>
    <row r="706" s="90" customFormat="1" ht="11.25">
      <c r="C706" s="126" t="s">
        <v>2809</v>
      </c>
    </row>
    <row r="707" spans="1:31" s="90" customFormat="1" ht="11.25">
      <c r="A707" s="122" t="s">
        <v>559</v>
      </c>
      <c r="B707" s="122" t="s">
        <v>1631</v>
      </c>
      <c r="C707" s="122" t="s">
        <v>2810</v>
      </c>
      <c r="D707" s="122" t="s">
        <v>3456</v>
      </c>
      <c r="E707" s="123">
        <v>1</v>
      </c>
      <c r="F707" s="123">
        <v>0</v>
      </c>
      <c r="G707" s="123">
        <f>ROUND(E707*AD707,2)</f>
        <v>0</v>
      </c>
      <c r="H707" s="123">
        <f>I707-G707</f>
        <v>0</v>
      </c>
      <c r="I707" s="123">
        <f>ROUND(E707*F707,2)</f>
        <v>0</v>
      </c>
      <c r="J707" s="123">
        <v>0.08074</v>
      </c>
      <c r="K707" s="123">
        <f>E707*J707</f>
        <v>0.08074</v>
      </c>
      <c r="M707" s="124" t="s">
        <v>9</v>
      </c>
      <c r="N707" s="123">
        <f>IF(M707="5",H707,0)</f>
        <v>0</v>
      </c>
      <c r="Y707" s="123">
        <f>IF(AC707=0,I707,0)</f>
        <v>0</v>
      </c>
      <c r="Z707" s="123">
        <f>IF(AC707=14,I707,0)</f>
        <v>0</v>
      </c>
      <c r="AA707" s="123">
        <f>IF(AC707=20,I707,0)</f>
        <v>0</v>
      </c>
      <c r="AC707" s="125">
        <v>20</v>
      </c>
      <c r="AD707" s="125">
        <f>F707*0.924859271673984</f>
        <v>0</v>
      </c>
      <c r="AE707" s="125">
        <f>F707*(1-0.924859271673984)</f>
        <v>0</v>
      </c>
    </row>
    <row r="708" s="90" customFormat="1" ht="11.25">
      <c r="C708" s="126" t="s">
        <v>2811</v>
      </c>
    </row>
    <row r="709" spans="1:31" s="90" customFormat="1" ht="11.25">
      <c r="A709" s="122" t="s">
        <v>560</v>
      </c>
      <c r="B709" s="122" t="s">
        <v>1632</v>
      </c>
      <c r="C709" s="122" t="s">
        <v>2812</v>
      </c>
      <c r="D709" s="122" t="s">
        <v>3456</v>
      </c>
      <c r="E709" s="123">
        <v>2</v>
      </c>
      <c r="F709" s="123">
        <v>0</v>
      </c>
      <c r="G709" s="123">
        <f>ROUND(E709*AD709,2)</f>
        <v>0</v>
      </c>
      <c r="H709" s="123">
        <f>I709-G709</f>
        <v>0</v>
      </c>
      <c r="I709" s="123">
        <f>ROUND(E709*F709,2)</f>
        <v>0</v>
      </c>
      <c r="J709" s="123">
        <v>0.08087</v>
      </c>
      <c r="K709" s="123">
        <f>E709*J709</f>
        <v>0.16174</v>
      </c>
      <c r="M709" s="124" t="s">
        <v>9</v>
      </c>
      <c r="N709" s="123">
        <f>IF(M709="5",H709,0)</f>
        <v>0</v>
      </c>
      <c r="Y709" s="123">
        <f>IF(AC709=0,I709,0)</f>
        <v>0</v>
      </c>
      <c r="Z709" s="123">
        <f>IF(AC709=14,I709,0)</f>
        <v>0</v>
      </c>
      <c r="AA709" s="123">
        <f>IF(AC709=20,I709,0)</f>
        <v>0</v>
      </c>
      <c r="AC709" s="125">
        <v>20</v>
      </c>
      <c r="AD709" s="125">
        <f>F709*0.929272403454211</f>
        <v>0</v>
      </c>
      <c r="AE709" s="125">
        <f>F709*(1-0.929272403454211)</f>
        <v>0</v>
      </c>
    </row>
    <row r="710" s="90" customFormat="1" ht="11.25">
      <c r="C710" s="126" t="s">
        <v>2813</v>
      </c>
    </row>
    <row r="711" spans="1:31" s="90" customFormat="1" ht="11.25">
      <c r="A711" s="122" t="s">
        <v>561</v>
      </c>
      <c r="B711" s="122" t="s">
        <v>1633</v>
      </c>
      <c r="C711" s="122" t="s">
        <v>2814</v>
      </c>
      <c r="D711" s="122" t="s">
        <v>3456</v>
      </c>
      <c r="E711" s="123">
        <v>9</v>
      </c>
      <c r="F711" s="123">
        <v>0</v>
      </c>
      <c r="G711" s="123">
        <f>ROUND(E711*AD711,2)</f>
        <v>0</v>
      </c>
      <c r="H711" s="123">
        <f>I711-G711</f>
        <v>0</v>
      </c>
      <c r="I711" s="123">
        <f>ROUND(E711*F711,2)</f>
        <v>0</v>
      </c>
      <c r="J711" s="123">
        <v>0.00205</v>
      </c>
      <c r="K711" s="123">
        <f>E711*J711</f>
        <v>0.01845</v>
      </c>
      <c r="M711" s="124" t="s">
        <v>7</v>
      </c>
      <c r="N711" s="123">
        <f>IF(M711="5",H711,0)</f>
        <v>0</v>
      </c>
      <c r="Y711" s="123">
        <f>IF(AC711=0,I711,0)</f>
        <v>0</v>
      </c>
      <c r="Z711" s="123">
        <f>IF(AC711=14,I711,0)</f>
        <v>0</v>
      </c>
      <c r="AA711" s="123">
        <f>IF(AC711=20,I711,0)</f>
        <v>0</v>
      </c>
      <c r="AC711" s="125">
        <v>20</v>
      </c>
      <c r="AD711" s="125">
        <f>F711*0.0293355469352787</f>
        <v>0</v>
      </c>
      <c r="AE711" s="125">
        <f>F711*(1-0.0293355469352787)</f>
        <v>0</v>
      </c>
    </row>
    <row r="712" spans="1:31" s="90" customFormat="1" ht="11.25">
      <c r="A712" s="122" t="s">
        <v>562</v>
      </c>
      <c r="B712" s="122" t="s">
        <v>1634</v>
      </c>
      <c r="C712" s="122" t="s">
        <v>2815</v>
      </c>
      <c r="D712" s="122" t="s">
        <v>3466</v>
      </c>
      <c r="E712" s="123">
        <v>780</v>
      </c>
      <c r="F712" s="123">
        <v>0</v>
      </c>
      <c r="G712" s="123">
        <f>ROUND(E712*AD712,2)</f>
        <v>0</v>
      </c>
      <c r="H712" s="123">
        <f>I712-G712</f>
        <v>0</v>
      </c>
      <c r="I712" s="123">
        <f>ROUND(E712*F712,2)</f>
        <v>0</v>
      </c>
      <c r="J712" s="123">
        <v>0.00107</v>
      </c>
      <c r="K712" s="123">
        <f>E712*J712</f>
        <v>0.8346</v>
      </c>
      <c r="M712" s="124" t="s">
        <v>9</v>
      </c>
      <c r="N712" s="123">
        <f>IF(M712="5",H712,0)</f>
        <v>0</v>
      </c>
      <c r="Y712" s="123">
        <f>IF(AC712=0,I712,0)</f>
        <v>0</v>
      </c>
      <c r="Z712" s="123">
        <f>IF(AC712=14,I712,0)</f>
        <v>0</v>
      </c>
      <c r="AA712" s="123">
        <f>IF(AC712=20,I712,0)</f>
        <v>0</v>
      </c>
      <c r="AC712" s="125">
        <v>20</v>
      </c>
      <c r="AD712" s="125">
        <f>F712*0.37912503148879</f>
        <v>0</v>
      </c>
      <c r="AE712" s="125">
        <f>F712*(1-0.37912503148879)</f>
        <v>0</v>
      </c>
    </row>
    <row r="713" s="90" customFormat="1" ht="11.25">
      <c r="C713" s="126" t="s">
        <v>2816</v>
      </c>
    </row>
    <row r="714" spans="1:31" s="90" customFormat="1" ht="11.25">
      <c r="A714" s="122" t="s">
        <v>563</v>
      </c>
      <c r="B714" s="122" t="s">
        <v>1635</v>
      </c>
      <c r="C714" s="122" t="s">
        <v>2817</v>
      </c>
      <c r="D714" s="122" t="s">
        <v>3466</v>
      </c>
      <c r="E714" s="123">
        <v>373.39</v>
      </c>
      <c r="F714" s="123">
        <v>0</v>
      </c>
      <c r="G714" s="123">
        <f>ROUND(E714*AD714,2)</f>
        <v>0</v>
      </c>
      <c r="H714" s="123">
        <f>I714-G714</f>
        <v>0</v>
      </c>
      <c r="I714" s="123">
        <f>ROUND(E714*F714,2)</f>
        <v>0</v>
      </c>
      <c r="J714" s="123">
        <v>0.00107</v>
      </c>
      <c r="K714" s="123">
        <f>E714*J714</f>
        <v>0.3995273</v>
      </c>
      <c r="M714" s="124" t="s">
        <v>9</v>
      </c>
      <c r="N714" s="123">
        <f>IF(M714="5",H714,0)</f>
        <v>0</v>
      </c>
      <c r="Y714" s="123">
        <f>IF(AC714=0,I714,0)</f>
        <v>0</v>
      </c>
      <c r="Z714" s="123">
        <f>IF(AC714=14,I714,0)</f>
        <v>0</v>
      </c>
      <c r="AA714" s="123">
        <f>IF(AC714=20,I714,0)</f>
        <v>0</v>
      </c>
      <c r="AC714" s="125">
        <v>20</v>
      </c>
      <c r="AD714" s="125">
        <f>F714*0.572521679986397</f>
        <v>0</v>
      </c>
      <c r="AE714" s="125">
        <f>F714*(1-0.572521679986397)</f>
        <v>0</v>
      </c>
    </row>
    <row r="715" s="90" customFormat="1" ht="11.25">
      <c r="C715" s="126" t="s">
        <v>2818</v>
      </c>
    </row>
    <row r="716" spans="1:31" s="90" customFormat="1" ht="11.25">
      <c r="A716" s="122" t="s">
        <v>564</v>
      </c>
      <c r="B716" s="122" t="s">
        <v>1636</v>
      </c>
      <c r="C716" s="122" t="s">
        <v>2819</v>
      </c>
      <c r="D716" s="122" t="s">
        <v>3460</v>
      </c>
      <c r="E716" s="123">
        <v>9.0432</v>
      </c>
      <c r="F716" s="123">
        <v>0</v>
      </c>
      <c r="G716" s="123">
        <f>ROUND(E716*AD716,2)</f>
        <v>0</v>
      </c>
      <c r="H716" s="123">
        <f>I716-G716</f>
        <v>0</v>
      </c>
      <c r="I716" s="123">
        <f>ROUND(E716*F716,2)</f>
        <v>0</v>
      </c>
      <c r="J716" s="123">
        <v>0</v>
      </c>
      <c r="K716" s="123">
        <f>E716*J716</f>
        <v>0</v>
      </c>
      <c r="M716" s="124" t="s">
        <v>11</v>
      </c>
      <c r="N716" s="123">
        <f>IF(M716="5",H716,0)</f>
        <v>0</v>
      </c>
      <c r="Y716" s="123">
        <f>IF(AC716=0,I716,0)</f>
        <v>0</v>
      </c>
      <c r="Z716" s="123">
        <f>IF(AC716=14,I716,0)</f>
        <v>0</v>
      </c>
      <c r="AA716" s="123">
        <f>IF(AC716=20,I716,0)</f>
        <v>0</v>
      </c>
      <c r="AC716" s="125">
        <v>20</v>
      </c>
      <c r="AD716" s="125">
        <f>F716*0</f>
        <v>0</v>
      </c>
      <c r="AE716" s="125">
        <f>F716*(1-0)</f>
        <v>0</v>
      </c>
    </row>
    <row r="717" spans="1:36" s="90" customFormat="1" ht="11.25">
      <c r="A717" s="127"/>
      <c r="B717" s="128" t="s">
        <v>777</v>
      </c>
      <c r="C717" s="129" t="s">
        <v>2820</v>
      </c>
      <c r="D717" s="130"/>
      <c r="E717" s="130"/>
      <c r="F717" s="130"/>
      <c r="G717" s="121">
        <f>SUM(G718:G727)</f>
        <v>0</v>
      </c>
      <c r="H717" s="121">
        <f>SUM(H718:H727)</f>
        <v>0</v>
      </c>
      <c r="I717" s="121">
        <f>G717+H717</f>
        <v>0</v>
      </c>
      <c r="J717" s="114"/>
      <c r="K717" s="121">
        <f>SUM(K718:K727)</f>
        <v>7.103421500000001</v>
      </c>
      <c r="O717" s="121">
        <f>IF(P717="PR",I717,SUM(N718:N727))</f>
        <v>0</v>
      </c>
      <c r="P717" s="114" t="s">
        <v>3490</v>
      </c>
      <c r="Q717" s="121">
        <f>IF(P717="HS",G717,0)</f>
        <v>0</v>
      </c>
      <c r="R717" s="121">
        <f>IF(P717="HS",H717-O717,0)</f>
        <v>0</v>
      </c>
      <c r="S717" s="121">
        <f>IF(P717="PS",G717,0)</f>
        <v>0</v>
      </c>
      <c r="T717" s="121">
        <f>IF(P717="PS",H717-O717,0)</f>
        <v>0</v>
      </c>
      <c r="U717" s="121">
        <f>IF(P717="MP",G717,0)</f>
        <v>0</v>
      </c>
      <c r="V717" s="121">
        <f>IF(P717="MP",H717-O717,0)</f>
        <v>0</v>
      </c>
      <c r="W717" s="121">
        <f>IF(P717="OM",G717,0)</f>
        <v>0</v>
      </c>
      <c r="X717" s="114"/>
      <c r="AH717" s="121">
        <f>SUM(Y718:Y727)</f>
        <v>0</v>
      </c>
      <c r="AI717" s="121">
        <f>SUM(Z718:Z727)</f>
        <v>0</v>
      </c>
      <c r="AJ717" s="121">
        <f>SUM(AA718:AA727)</f>
        <v>0</v>
      </c>
    </row>
    <row r="718" spans="1:31" s="90" customFormat="1" ht="11.25">
      <c r="A718" s="131" t="s">
        <v>565</v>
      </c>
      <c r="B718" s="131" t="s">
        <v>1637</v>
      </c>
      <c r="C718" s="131" t="s">
        <v>2821</v>
      </c>
      <c r="D718" s="131" t="s">
        <v>3459</v>
      </c>
      <c r="E718" s="132">
        <v>251.72</v>
      </c>
      <c r="F718" s="132">
        <v>0</v>
      </c>
      <c r="G718" s="132">
        <f>ROUND(E718*AD718,2)</f>
        <v>0</v>
      </c>
      <c r="H718" s="132">
        <f>I718-G718</f>
        <v>0</v>
      </c>
      <c r="I718" s="132">
        <f>ROUND(E718*F718,2)</f>
        <v>0</v>
      </c>
      <c r="J718" s="132">
        <v>0.0192</v>
      </c>
      <c r="K718" s="132">
        <f>E718*J718</f>
        <v>4.833024</v>
      </c>
      <c r="M718" s="133" t="s">
        <v>1101</v>
      </c>
      <c r="N718" s="132">
        <f>IF(M718="5",H718,0)</f>
        <v>0</v>
      </c>
      <c r="Y718" s="132">
        <f>IF(AC718=0,I718,0)</f>
        <v>0</v>
      </c>
      <c r="Z718" s="132">
        <f>IF(AC718=14,I718,0)</f>
        <v>0</v>
      </c>
      <c r="AA718" s="132">
        <f>IF(AC718=20,I718,0)</f>
        <v>0</v>
      </c>
      <c r="AC718" s="125">
        <v>20</v>
      </c>
      <c r="AD718" s="125">
        <f>F718*1</f>
        <v>0</v>
      </c>
      <c r="AE718" s="125">
        <f>F718*(1-1)</f>
        <v>0</v>
      </c>
    </row>
    <row r="719" spans="1:31" s="90" customFormat="1" ht="11.25">
      <c r="A719" s="131" t="s">
        <v>566</v>
      </c>
      <c r="B719" s="131" t="s">
        <v>1638</v>
      </c>
      <c r="C719" s="131" t="s">
        <v>2822</v>
      </c>
      <c r="D719" s="131" t="s">
        <v>3459</v>
      </c>
      <c r="E719" s="132">
        <v>23.1</v>
      </c>
      <c r="F719" s="132">
        <v>0</v>
      </c>
      <c r="G719" s="132">
        <f>ROUND(E719*AD719,2)</f>
        <v>0</v>
      </c>
      <c r="H719" s="132">
        <f>I719-G719</f>
        <v>0</v>
      </c>
      <c r="I719" s="132">
        <f>ROUND(E719*F719,2)</f>
        <v>0</v>
      </c>
      <c r="J719" s="132">
        <v>0.0192</v>
      </c>
      <c r="K719" s="132">
        <f>E719*J719</f>
        <v>0.44351999999999997</v>
      </c>
      <c r="M719" s="133" t="s">
        <v>1101</v>
      </c>
      <c r="N719" s="132">
        <f>IF(M719="5",H719,0)</f>
        <v>0</v>
      </c>
      <c r="Y719" s="132">
        <f>IF(AC719=0,I719,0)</f>
        <v>0</v>
      </c>
      <c r="Z719" s="132">
        <f>IF(AC719=14,I719,0)</f>
        <v>0</v>
      </c>
      <c r="AA719" s="132">
        <f>IF(AC719=20,I719,0)</f>
        <v>0</v>
      </c>
      <c r="AC719" s="125">
        <v>20</v>
      </c>
      <c r="AD719" s="125">
        <f>F719*1</f>
        <v>0</v>
      </c>
      <c r="AE719" s="125">
        <f>F719*(1-1)</f>
        <v>0</v>
      </c>
    </row>
    <row r="720" spans="1:31" s="90" customFormat="1" ht="11.25">
      <c r="A720" s="131" t="s">
        <v>567</v>
      </c>
      <c r="B720" s="131" t="s">
        <v>1639</v>
      </c>
      <c r="C720" s="131" t="s">
        <v>2823</v>
      </c>
      <c r="D720" s="131" t="s">
        <v>3456</v>
      </c>
      <c r="E720" s="132">
        <v>450.23</v>
      </c>
      <c r="F720" s="132">
        <v>0</v>
      </c>
      <c r="G720" s="132">
        <f>ROUND(E720*AD720,2)</f>
        <v>0</v>
      </c>
      <c r="H720" s="132">
        <f>I720-G720</f>
        <v>0</v>
      </c>
      <c r="I720" s="132">
        <f>ROUND(E720*F720,2)</f>
        <v>0</v>
      </c>
      <c r="J720" s="132">
        <v>0.00045</v>
      </c>
      <c r="K720" s="132">
        <f>E720*J720</f>
        <v>0.2026035</v>
      </c>
      <c r="M720" s="133" t="s">
        <v>1101</v>
      </c>
      <c r="N720" s="132">
        <f>IF(M720="5",H720,0)</f>
        <v>0</v>
      </c>
      <c r="Y720" s="132">
        <f>IF(AC720=0,I720,0)</f>
        <v>0</v>
      </c>
      <c r="Z720" s="132">
        <f>IF(AC720=14,I720,0)</f>
        <v>0</v>
      </c>
      <c r="AA720" s="132">
        <f>IF(AC720=20,I720,0)</f>
        <v>0</v>
      </c>
      <c r="AC720" s="125">
        <v>20</v>
      </c>
      <c r="AD720" s="125">
        <f>F720*1</f>
        <v>0</v>
      </c>
      <c r="AE720" s="125">
        <f>F720*(1-1)</f>
        <v>0</v>
      </c>
    </row>
    <row r="721" spans="1:31" s="90" customFormat="1" ht="11.25">
      <c r="A721" s="131" t="s">
        <v>568</v>
      </c>
      <c r="B721" s="131" t="s">
        <v>1639</v>
      </c>
      <c r="C721" s="131" t="s">
        <v>2823</v>
      </c>
      <c r="D721" s="131" t="s">
        <v>3456</v>
      </c>
      <c r="E721" s="132">
        <v>88</v>
      </c>
      <c r="F721" s="132">
        <v>0</v>
      </c>
      <c r="G721" s="132">
        <f>ROUND(E721*AD721,2)</f>
        <v>0</v>
      </c>
      <c r="H721" s="132">
        <f>I721-G721</f>
        <v>0</v>
      </c>
      <c r="I721" s="132">
        <f>ROUND(E721*F721,2)</f>
        <v>0</v>
      </c>
      <c r="J721" s="132">
        <v>0.00045</v>
      </c>
      <c r="K721" s="132">
        <f>E721*J721</f>
        <v>0.039599999999999996</v>
      </c>
      <c r="M721" s="133" t="s">
        <v>1101</v>
      </c>
      <c r="N721" s="132">
        <f>IF(M721="5",H721,0)</f>
        <v>0</v>
      </c>
      <c r="Y721" s="132">
        <f>IF(AC721=0,I721,0)</f>
        <v>0</v>
      </c>
      <c r="Z721" s="132">
        <f>IF(AC721=14,I721,0)</f>
        <v>0</v>
      </c>
      <c r="AA721" s="132">
        <f>IF(AC721=20,I721,0)</f>
        <v>0</v>
      </c>
      <c r="AC721" s="125">
        <v>20</v>
      </c>
      <c r="AD721" s="125">
        <f>F721*1</f>
        <v>0</v>
      </c>
      <c r="AE721" s="125">
        <f>F721*(1-1)</f>
        <v>0</v>
      </c>
    </row>
    <row r="722" spans="1:31" s="90" customFormat="1" ht="11.25">
      <c r="A722" s="122" t="s">
        <v>569</v>
      </c>
      <c r="B722" s="122" t="s">
        <v>1640</v>
      </c>
      <c r="C722" s="122" t="s">
        <v>2824</v>
      </c>
      <c r="D722" s="122" t="s">
        <v>3455</v>
      </c>
      <c r="E722" s="123">
        <v>70</v>
      </c>
      <c r="F722" s="123">
        <v>0</v>
      </c>
      <c r="G722" s="123">
        <f>ROUND(E722*AD722,2)</f>
        <v>0</v>
      </c>
      <c r="H722" s="123">
        <f>I722-G722</f>
        <v>0</v>
      </c>
      <c r="I722" s="123">
        <f>ROUND(E722*F722,2)</f>
        <v>0</v>
      </c>
      <c r="J722" s="123">
        <v>0.01209</v>
      </c>
      <c r="K722" s="123">
        <f>E722*J722</f>
        <v>0.8463</v>
      </c>
      <c r="M722" s="124" t="s">
        <v>9</v>
      </c>
      <c r="N722" s="123">
        <f>IF(M722="5",H722,0)</f>
        <v>0</v>
      </c>
      <c r="Y722" s="123">
        <f>IF(AC722=0,I722,0)</f>
        <v>0</v>
      </c>
      <c r="Z722" s="123">
        <f>IF(AC722=14,I722,0)</f>
        <v>0</v>
      </c>
      <c r="AA722" s="123">
        <f>IF(AC722=20,I722,0)</f>
        <v>0</v>
      </c>
      <c r="AC722" s="125">
        <v>20</v>
      </c>
      <c r="AD722" s="125">
        <f>F722*0.423663712060167</f>
        <v>0</v>
      </c>
      <c r="AE722" s="125">
        <f>F722*(1-0.423663712060167)</f>
        <v>0</v>
      </c>
    </row>
    <row r="723" s="90" customFormat="1" ht="11.25">
      <c r="C723" s="126" t="s">
        <v>2825</v>
      </c>
    </row>
    <row r="724" spans="1:31" s="90" customFormat="1" ht="11.25">
      <c r="A724" s="122" t="s">
        <v>570</v>
      </c>
      <c r="B724" s="122" t="s">
        <v>1641</v>
      </c>
      <c r="C724" s="122" t="s">
        <v>2826</v>
      </c>
      <c r="D724" s="122" t="s">
        <v>3455</v>
      </c>
      <c r="E724" s="123">
        <v>135.65</v>
      </c>
      <c r="F724" s="123">
        <v>0</v>
      </c>
      <c r="G724" s="123">
        <f>ROUND(E724*AD724,2)</f>
        <v>0</v>
      </c>
      <c r="H724" s="123">
        <f>I724-G724</f>
        <v>0</v>
      </c>
      <c r="I724" s="123">
        <f>ROUND(E724*F724,2)</f>
        <v>0</v>
      </c>
      <c r="J724" s="123">
        <v>0.00028</v>
      </c>
      <c r="K724" s="123">
        <f>E724*J724</f>
        <v>0.037981999999999995</v>
      </c>
      <c r="M724" s="124" t="s">
        <v>7</v>
      </c>
      <c r="N724" s="123">
        <f>IF(M724="5",H724,0)</f>
        <v>0</v>
      </c>
      <c r="Y724" s="123">
        <f>IF(AC724=0,I724,0)</f>
        <v>0</v>
      </c>
      <c r="Z724" s="123">
        <f>IF(AC724=14,I724,0)</f>
        <v>0</v>
      </c>
      <c r="AA724" s="123">
        <f>IF(AC724=20,I724,0)</f>
        <v>0</v>
      </c>
      <c r="AC724" s="125">
        <v>20</v>
      </c>
      <c r="AD724" s="125">
        <f>F724*0.137903225806452</f>
        <v>0</v>
      </c>
      <c r="AE724" s="125">
        <f>F724*(1-0.137903225806452)</f>
        <v>0</v>
      </c>
    </row>
    <row r="725" spans="1:31" s="90" customFormat="1" ht="11.25">
      <c r="A725" s="122" t="s">
        <v>571</v>
      </c>
      <c r="B725" s="122" t="s">
        <v>1642</v>
      </c>
      <c r="C725" s="122" t="s">
        <v>2827</v>
      </c>
      <c r="D725" s="122" t="s">
        <v>3459</v>
      </c>
      <c r="E725" s="123">
        <v>227.4</v>
      </c>
      <c r="F725" s="123">
        <v>0</v>
      </c>
      <c r="G725" s="123">
        <f>ROUND(E725*AD725,2)</f>
        <v>0</v>
      </c>
      <c r="H725" s="123">
        <f>I725-G725</f>
        <v>0</v>
      </c>
      <c r="I725" s="123">
        <f>ROUND(E725*F725,2)</f>
        <v>0</v>
      </c>
      <c r="J725" s="123">
        <v>0.00308</v>
      </c>
      <c r="K725" s="123">
        <f>E725*J725</f>
        <v>0.700392</v>
      </c>
      <c r="M725" s="124" t="s">
        <v>9</v>
      </c>
      <c r="N725" s="123">
        <f>IF(M725="5",H725,0)</f>
        <v>0</v>
      </c>
      <c r="Y725" s="123">
        <f>IF(AC725=0,I725,0)</f>
        <v>0</v>
      </c>
      <c r="Z725" s="123">
        <f>IF(AC725=14,I725,0)</f>
        <v>0</v>
      </c>
      <c r="AA725" s="123">
        <f>IF(AC725=20,I725,0)</f>
        <v>0</v>
      </c>
      <c r="AC725" s="125">
        <v>20</v>
      </c>
      <c r="AD725" s="125">
        <f>F725*0.221545612331951</f>
        <v>0</v>
      </c>
      <c r="AE725" s="125">
        <f>F725*(1-0.221545612331951)</f>
        <v>0</v>
      </c>
    </row>
    <row r="726" s="90" customFormat="1" ht="11.25">
      <c r="C726" s="126" t="s">
        <v>2828</v>
      </c>
    </row>
    <row r="727" spans="1:31" s="90" customFormat="1" ht="11.25">
      <c r="A727" s="122" t="s">
        <v>572</v>
      </c>
      <c r="B727" s="122" t="s">
        <v>1643</v>
      </c>
      <c r="C727" s="122" t="s">
        <v>2829</v>
      </c>
      <c r="D727" s="122" t="s">
        <v>3460</v>
      </c>
      <c r="E727" s="123">
        <v>7.10342</v>
      </c>
      <c r="F727" s="123">
        <v>0</v>
      </c>
      <c r="G727" s="123">
        <f>ROUND(E727*AD727,2)</f>
        <v>0</v>
      </c>
      <c r="H727" s="123">
        <f>I727-G727</f>
        <v>0</v>
      </c>
      <c r="I727" s="123">
        <f>ROUND(E727*F727,2)</f>
        <v>0</v>
      </c>
      <c r="J727" s="123">
        <v>0</v>
      </c>
      <c r="K727" s="123">
        <f>E727*J727</f>
        <v>0</v>
      </c>
      <c r="M727" s="124" t="s">
        <v>11</v>
      </c>
      <c r="N727" s="123">
        <f>IF(M727="5",H727,0)</f>
        <v>0</v>
      </c>
      <c r="Y727" s="123">
        <f>IF(AC727=0,I727,0)</f>
        <v>0</v>
      </c>
      <c r="Z727" s="123">
        <f>IF(AC727=14,I727,0)</f>
        <v>0</v>
      </c>
      <c r="AA727" s="123">
        <f>IF(AC727=20,I727,0)</f>
        <v>0</v>
      </c>
      <c r="AC727" s="125">
        <v>20</v>
      </c>
      <c r="AD727" s="125">
        <f>F727*0</f>
        <v>0</v>
      </c>
      <c r="AE727" s="125">
        <f>F727*(1-0)</f>
        <v>0</v>
      </c>
    </row>
    <row r="728" spans="1:36" s="90" customFormat="1" ht="11.25">
      <c r="A728" s="127"/>
      <c r="B728" s="128" t="s">
        <v>782</v>
      </c>
      <c r="C728" s="129" t="s">
        <v>2830</v>
      </c>
      <c r="D728" s="130"/>
      <c r="E728" s="130"/>
      <c r="F728" s="130"/>
      <c r="G728" s="121">
        <f>SUM(G729:G733)</f>
        <v>0</v>
      </c>
      <c r="H728" s="121">
        <f>SUM(H729:H733)</f>
        <v>0</v>
      </c>
      <c r="I728" s="121">
        <f>G728+H728</f>
        <v>0</v>
      </c>
      <c r="J728" s="114"/>
      <c r="K728" s="121">
        <f>SUM(K729:K733)</f>
        <v>1.7105349999999997</v>
      </c>
      <c r="O728" s="121">
        <f>IF(P728="PR",I728,SUM(N729:N733))</f>
        <v>0</v>
      </c>
      <c r="P728" s="114" t="s">
        <v>3490</v>
      </c>
      <c r="Q728" s="121">
        <f>IF(P728="HS",G728,0)</f>
        <v>0</v>
      </c>
      <c r="R728" s="121">
        <f>IF(P728="HS",H728-O728,0)</f>
        <v>0</v>
      </c>
      <c r="S728" s="121">
        <f>IF(P728="PS",G728,0)</f>
        <v>0</v>
      </c>
      <c r="T728" s="121">
        <f>IF(P728="PS",H728-O728,0)</f>
        <v>0</v>
      </c>
      <c r="U728" s="121">
        <f>IF(P728="MP",G728,0)</f>
        <v>0</v>
      </c>
      <c r="V728" s="121">
        <f>IF(P728="MP",H728-O728,0)</f>
        <v>0</v>
      </c>
      <c r="W728" s="121">
        <f>IF(P728="OM",G728,0)</f>
        <v>0</v>
      </c>
      <c r="X728" s="114"/>
      <c r="AH728" s="121">
        <f>SUM(Y729:Y733)</f>
        <v>0</v>
      </c>
      <c r="AI728" s="121">
        <f>SUM(Z729:Z733)</f>
        <v>0</v>
      </c>
      <c r="AJ728" s="121">
        <f>SUM(AA729:AA733)</f>
        <v>0</v>
      </c>
    </row>
    <row r="729" spans="1:31" s="90" customFormat="1" ht="11.25">
      <c r="A729" s="122" t="s">
        <v>573</v>
      </c>
      <c r="B729" s="122" t="s">
        <v>1644</v>
      </c>
      <c r="C729" s="122" t="s">
        <v>2831</v>
      </c>
      <c r="D729" s="122" t="s">
        <v>3459</v>
      </c>
      <c r="E729" s="123">
        <v>359.65</v>
      </c>
      <c r="F729" s="123">
        <v>0</v>
      </c>
      <c r="G729" s="123">
        <f>ROUND(E729*AD729,2)</f>
        <v>0</v>
      </c>
      <c r="H729" s="123">
        <f>I729-G729</f>
        <v>0</v>
      </c>
      <c r="I729" s="123">
        <f>ROUND(E729*F729,2)</f>
        <v>0</v>
      </c>
      <c r="J729" s="123">
        <v>0.00462</v>
      </c>
      <c r="K729" s="123">
        <f>E729*J729</f>
        <v>1.6615829999999998</v>
      </c>
      <c r="M729" s="124" t="s">
        <v>9</v>
      </c>
      <c r="N729" s="123">
        <f>IF(M729="5",H729,0)</f>
        <v>0</v>
      </c>
      <c r="Y729" s="123">
        <f>IF(AC729=0,I729,0)</f>
        <v>0</v>
      </c>
      <c r="Z729" s="123">
        <f>IF(AC729=14,I729,0)</f>
        <v>0</v>
      </c>
      <c r="AA729" s="123">
        <f>IF(AC729=20,I729,0)</f>
        <v>0</v>
      </c>
      <c r="AC729" s="125">
        <v>20</v>
      </c>
      <c r="AD729" s="125">
        <f>F729*0.7595203294199</f>
        <v>0</v>
      </c>
      <c r="AE729" s="125">
        <f>F729*(1-0.7595203294199)</f>
        <v>0</v>
      </c>
    </row>
    <row r="730" s="90" customFormat="1" ht="11.25">
      <c r="C730" s="126" t="s">
        <v>2832</v>
      </c>
    </row>
    <row r="731" spans="1:31" s="90" customFormat="1" ht="11.25">
      <c r="A731" s="122" t="s">
        <v>574</v>
      </c>
      <c r="B731" s="122" t="s">
        <v>1645</v>
      </c>
      <c r="C731" s="122" t="s">
        <v>2833</v>
      </c>
      <c r="D731" s="122" t="s">
        <v>3459</v>
      </c>
      <c r="E731" s="123">
        <v>11.6</v>
      </c>
      <c r="F731" s="123">
        <v>0</v>
      </c>
      <c r="G731" s="123">
        <f>ROUND(E731*AD731,2)</f>
        <v>0</v>
      </c>
      <c r="H731" s="123">
        <f>I731-G731</f>
        <v>0</v>
      </c>
      <c r="I731" s="123">
        <f>ROUND(E731*F731,2)</f>
        <v>0</v>
      </c>
      <c r="J731" s="123">
        <v>0.00422</v>
      </c>
      <c r="K731" s="123">
        <f>E731*J731</f>
        <v>0.048951999999999996</v>
      </c>
      <c r="M731" s="124" t="s">
        <v>9</v>
      </c>
      <c r="N731" s="123">
        <f>IF(M731="5",H731,0)</f>
        <v>0</v>
      </c>
      <c r="Y731" s="123">
        <f>IF(AC731=0,I731,0)</f>
        <v>0</v>
      </c>
      <c r="Z731" s="123">
        <f>IF(AC731=14,I731,0)</f>
        <v>0</v>
      </c>
      <c r="AA731" s="123">
        <f>IF(AC731=20,I731,0)</f>
        <v>0</v>
      </c>
      <c r="AC731" s="125">
        <v>20</v>
      </c>
      <c r="AD731" s="125">
        <f>F731*0.877515732754288</f>
        <v>0</v>
      </c>
      <c r="AE731" s="125">
        <f>F731*(1-0.877515732754288)</f>
        <v>0</v>
      </c>
    </row>
    <row r="732" s="90" customFormat="1" ht="11.25">
      <c r="C732" s="126" t="s">
        <v>2834</v>
      </c>
    </row>
    <row r="733" spans="1:31" s="90" customFormat="1" ht="11.25">
      <c r="A733" s="122" t="s">
        <v>575</v>
      </c>
      <c r="B733" s="122" t="s">
        <v>1646</v>
      </c>
      <c r="C733" s="122" t="s">
        <v>2835</v>
      </c>
      <c r="D733" s="122" t="s">
        <v>3460</v>
      </c>
      <c r="E733" s="123">
        <v>1.71054</v>
      </c>
      <c r="F733" s="123">
        <v>0</v>
      </c>
      <c r="G733" s="123">
        <f>ROUND(E733*AD733,2)</f>
        <v>0</v>
      </c>
      <c r="H733" s="123">
        <f>I733-G733</f>
        <v>0</v>
      </c>
      <c r="I733" s="123">
        <f>ROUND(E733*F733,2)</f>
        <v>0</v>
      </c>
      <c r="J733" s="123">
        <v>0</v>
      </c>
      <c r="K733" s="123">
        <f>E733*J733</f>
        <v>0</v>
      </c>
      <c r="M733" s="124" t="s">
        <v>11</v>
      </c>
      <c r="N733" s="123">
        <f>IF(M733="5",H733,0)</f>
        <v>0</v>
      </c>
      <c r="Y733" s="123">
        <f>IF(AC733=0,I733,0)</f>
        <v>0</v>
      </c>
      <c r="Z733" s="123">
        <f>IF(AC733=14,I733,0)</f>
        <v>0</v>
      </c>
      <c r="AA733" s="123">
        <f>IF(AC733=20,I733,0)</f>
        <v>0</v>
      </c>
      <c r="AC733" s="125">
        <v>20</v>
      </c>
      <c r="AD733" s="125">
        <f>F733*0</f>
        <v>0</v>
      </c>
      <c r="AE733" s="125">
        <f>F733*(1-0)</f>
        <v>0</v>
      </c>
    </row>
    <row r="734" spans="1:36" s="90" customFormat="1" ht="11.25">
      <c r="A734" s="127"/>
      <c r="B734" s="128" t="s">
        <v>783</v>
      </c>
      <c r="C734" s="129" t="s">
        <v>2836</v>
      </c>
      <c r="D734" s="130"/>
      <c r="E734" s="130"/>
      <c r="F734" s="130"/>
      <c r="G734" s="121">
        <f>SUM(G735:G737)</f>
        <v>0</v>
      </c>
      <c r="H734" s="121">
        <f>SUM(H735:H737)</f>
        <v>0</v>
      </c>
      <c r="I734" s="121">
        <f>G734+H734</f>
        <v>0</v>
      </c>
      <c r="J734" s="114"/>
      <c r="K734" s="121">
        <f>SUM(K735:K737)</f>
        <v>1.3668925</v>
      </c>
      <c r="O734" s="121">
        <f>IF(P734="PR",I734,SUM(N735:N737))</f>
        <v>0</v>
      </c>
      <c r="P734" s="114" t="s">
        <v>3490</v>
      </c>
      <c r="Q734" s="121">
        <f>IF(P734="HS",G734,0)</f>
        <v>0</v>
      </c>
      <c r="R734" s="121">
        <f>IF(P734="HS",H734-O734,0)</f>
        <v>0</v>
      </c>
      <c r="S734" s="121">
        <f>IF(P734="PS",G734,0)</f>
        <v>0</v>
      </c>
      <c r="T734" s="121">
        <f>IF(P734="PS",H734-O734,0)</f>
        <v>0</v>
      </c>
      <c r="U734" s="121">
        <f>IF(P734="MP",G734,0)</f>
        <v>0</v>
      </c>
      <c r="V734" s="121">
        <f>IF(P734="MP",H734-O734,0)</f>
        <v>0</v>
      </c>
      <c r="W734" s="121">
        <f>IF(P734="OM",G734,0)</f>
        <v>0</v>
      </c>
      <c r="X734" s="114"/>
      <c r="AH734" s="121">
        <f>SUM(Y735:Y737)</f>
        <v>0</v>
      </c>
      <c r="AI734" s="121">
        <f>SUM(Z735:Z737)</f>
        <v>0</v>
      </c>
      <c r="AJ734" s="121">
        <f>SUM(AA735:AA737)</f>
        <v>0</v>
      </c>
    </row>
    <row r="735" spans="1:31" s="90" customFormat="1" ht="11.25">
      <c r="A735" s="122" t="s">
        <v>576</v>
      </c>
      <c r="B735" s="122" t="s">
        <v>1647</v>
      </c>
      <c r="C735" s="122" t="s">
        <v>2837</v>
      </c>
      <c r="D735" s="122" t="s">
        <v>3459</v>
      </c>
      <c r="E735" s="123">
        <v>45.15</v>
      </c>
      <c r="F735" s="123">
        <v>0</v>
      </c>
      <c r="G735" s="123">
        <f>ROUND(E735*AD735,2)</f>
        <v>0</v>
      </c>
      <c r="H735" s="123">
        <f>I735-G735</f>
        <v>0</v>
      </c>
      <c r="I735" s="123">
        <f>ROUND(E735*F735,2)</f>
        <v>0</v>
      </c>
      <c r="J735" s="123">
        <v>0.01275</v>
      </c>
      <c r="K735" s="123">
        <f>E735*J735</f>
        <v>0.5756625</v>
      </c>
      <c r="M735" s="124" t="s">
        <v>7</v>
      </c>
      <c r="N735" s="123">
        <f>IF(M735="5",H735,0)</f>
        <v>0</v>
      </c>
      <c r="Y735" s="123">
        <f>IF(AC735=0,I735,0)</f>
        <v>0</v>
      </c>
      <c r="Z735" s="123">
        <f>IF(AC735=14,I735,0)</f>
        <v>0</v>
      </c>
      <c r="AA735" s="123">
        <f>IF(AC735=20,I735,0)</f>
        <v>0</v>
      </c>
      <c r="AC735" s="125">
        <v>20</v>
      </c>
      <c r="AD735" s="125">
        <f>F735*0.616266418999602</f>
        <v>0</v>
      </c>
      <c r="AE735" s="125">
        <f>F735*(1-0.616266418999602)</f>
        <v>0</v>
      </c>
    </row>
    <row r="736" spans="1:31" s="90" customFormat="1" ht="11.25">
      <c r="A736" s="122" t="s">
        <v>577</v>
      </c>
      <c r="B736" s="122" t="s">
        <v>1648</v>
      </c>
      <c r="C736" s="122" t="s">
        <v>2838</v>
      </c>
      <c r="D736" s="122" t="s">
        <v>3459</v>
      </c>
      <c r="E736" s="123">
        <v>359.65</v>
      </c>
      <c r="F736" s="123">
        <v>0</v>
      </c>
      <c r="G736" s="123">
        <f>ROUND(E736*AD736,2)</f>
        <v>0</v>
      </c>
      <c r="H736" s="123">
        <f>I736-G736</f>
        <v>0</v>
      </c>
      <c r="I736" s="123">
        <f>ROUND(E736*F736,2)</f>
        <v>0</v>
      </c>
      <c r="J736" s="123">
        <v>0.0022</v>
      </c>
      <c r="K736" s="123">
        <f>E736*J736</f>
        <v>0.79123</v>
      </c>
      <c r="M736" s="124" t="s">
        <v>7</v>
      </c>
      <c r="N736" s="123">
        <f>IF(M736="5",H736,0)</f>
        <v>0</v>
      </c>
      <c r="Y736" s="123">
        <f>IF(AC736=0,I736,0)</f>
        <v>0</v>
      </c>
      <c r="Z736" s="123">
        <f>IF(AC736=14,I736,0)</f>
        <v>0</v>
      </c>
      <c r="AA736" s="123">
        <f>IF(AC736=20,I736,0)</f>
        <v>0</v>
      </c>
      <c r="AC736" s="125">
        <v>20</v>
      </c>
      <c r="AD736" s="125">
        <f>F736*0.182530795072788</f>
        <v>0</v>
      </c>
      <c r="AE736" s="125">
        <f>F736*(1-0.182530795072788)</f>
        <v>0</v>
      </c>
    </row>
    <row r="737" spans="1:31" s="90" customFormat="1" ht="11.25">
      <c r="A737" s="122" t="s">
        <v>578</v>
      </c>
      <c r="B737" s="122" t="s">
        <v>1649</v>
      </c>
      <c r="C737" s="122" t="s">
        <v>2839</v>
      </c>
      <c r="D737" s="122" t="s">
        <v>3460</v>
      </c>
      <c r="E737" s="123">
        <v>1.36689</v>
      </c>
      <c r="F737" s="123">
        <v>0</v>
      </c>
      <c r="G737" s="123">
        <f>ROUND(E737*AD737,2)</f>
        <v>0</v>
      </c>
      <c r="H737" s="123">
        <f>I737-G737</f>
        <v>0</v>
      </c>
      <c r="I737" s="123">
        <f>ROUND(E737*F737,2)</f>
        <v>0</v>
      </c>
      <c r="J737" s="123">
        <v>0</v>
      </c>
      <c r="K737" s="123">
        <f>E737*J737</f>
        <v>0</v>
      </c>
      <c r="M737" s="124" t="s">
        <v>11</v>
      </c>
      <c r="N737" s="123">
        <f>IF(M737="5",H737,0)</f>
        <v>0</v>
      </c>
      <c r="Y737" s="123">
        <f>IF(AC737=0,I737,0)</f>
        <v>0</v>
      </c>
      <c r="Z737" s="123">
        <f>IF(AC737=14,I737,0)</f>
        <v>0</v>
      </c>
      <c r="AA737" s="123">
        <f>IF(AC737=20,I737,0)</f>
        <v>0</v>
      </c>
      <c r="AC737" s="125">
        <v>20</v>
      </c>
      <c r="AD737" s="125">
        <f>F737*0</f>
        <v>0</v>
      </c>
      <c r="AE737" s="125">
        <f>F737*(1-0)</f>
        <v>0</v>
      </c>
    </row>
    <row r="738" spans="1:36" s="90" customFormat="1" ht="11.25">
      <c r="A738" s="127"/>
      <c r="B738" s="128" t="s">
        <v>787</v>
      </c>
      <c r="C738" s="129" t="s">
        <v>2840</v>
      </c>
      <c r="D738" s="130"/>
      <c r="E738" s="130"/>
      <c r="F738" s="130"/>
      <c r="G738" s="121">
        <f>SUM(G739:G743)</f>
        <v>0</v>
      </c>
      <c r="H738" s="121">
        <f>SUM(H739:H743)</f>
        <v>0</v>
      </c>
      <c r="I738" s="121">
        <f>G738+H738</f>
        <v>0</v>
      </c>
      <c r="J738" s="114"/>
      <c r="K738" s="121">
        <f>SUM(K739:K743)</f>
        <v>9.5910954</v>
      </c>
      <c r="O738" s="121">
        <f>IF(P738="PR",I738,SUM(N739:N743))</f>
        <v>0</v>
      </c>
      <c r="P738" s="114" t="s">
        <v>3490</v>
      </c>
      <c r="Q738" s="121">
        <f>IF(P738="HS",G738,0)</f>
        <v>0</v>
      </c>
      <c r="R738" s="121">
        <f>IF(P738="HS",H738-O738,0)</f>
        <v>0</v>
      </c>
      <c r="S738" s="121">
        <f>IF(P738="PS",G738,0)</f>
        <v>0</v>
      </c>
      <c r="T738" s="121">
        <f>IF(P738="PS",H738-O738,0)</f>
        <v>0</v>
      </c>
      <c r="U738" s="121">
        <f>IF(P738="MP",G738,0)</f>
        <v>0</v>
      </c>
      <c r="V738" s="121">
        <f>IF(P738="MP",H738-O738,0)</f>
        <v>0</v>
      </c>
      <c r="W738" s="121">
        <f>IF(P738="OM",G738,0)</f>
        <v>0</v>
      </c>
      <c r="X738" s="114"/>
      <c r="AH738" s="121">
        <f>SUM(Y739:Y743)</f>
        <v>0</v>
      </c>
      <c r="AI738" s="121">
        <f>SUM(Z739:Z743)</f>
        <v>0</v>
      </c>
      <c r="AJ738" s="121">
        <f>SUM(AA739:AA743)</f>
        <v>0</v>
      </c>
    </row>
    <row r="739" spans="1:31" s="90" customFormat="1" ht="11.25">
      <c r="A739" s="131" t="s">
        <v>579</v>
      </c>
      <c r="B739" s="131" t="s">
        <v>1650</v>
      </c>
      <c r="C739" s="131" t="s">
        <v>2841</v>
      </c>
      <c r="D739" s="131" t="s">
        <v>3455</v>
      </c>
      <c r="E739" s="132">
        <v>323.67</v>
      </c>
      <c r="F739" s="132">
        <v>0</v>
      </c>
      <c r="G739" s="132">
        <f>ROUND(E739*AD739,2)</f>
        <v>0</v>
      </c>
      <c r="H739" s="132">
        <f>I739-G739</f>
        <v>0</v>
      </c>
      <c r="I739" s="132">
        <f>ROUND(E739*F739,2)</f>
        <v>0</v>
      </c>
      <c r="J739" s="132">
        <v>0.00022</v>
      </c>
      <c r="K739" s="132">
        <f>E739*J739</f>
        <v>0.0712074</v>
      </c>
      <c r="M739" s="133" t="s">
        <v>1101</v>
      </c>
      <c r="N739" s="132">
        <f>IF(M739="5",H739,0)</f>
        <v>0</v>
      </c>
      <c r="Y739" s="132">
        <f>IF(AC739=0,I739,0)</f>
        <v>0</v>
      </c>
      <c r="Z739" s="132">
        <f>IF(AC739=14,I739,0)</f>
        <v>0</v>
      </c>
      <c r="AA739" s="132">
        <f>IF(AC739=20,I739,0)</f>
        <v>0</v>
      </c>
      <c r="AC739" s="125">
        <v>20</v>
      </c>
      <c r="AD739" s="125">
        <f>F739*1</f>
        <v>0</v>
      </c>
      <c r="AE739" s="125">
        <f>F739*(1-1)</f>
        <v>0</v>
      </c>
    </row>
    <row r="740" spans="1:31" s="90" customFormat="1" ht="11.25">
      <c r="A740" s="131" t="s">
        <v>580</v>
      </c>
      <c r="B740" s="131" t="s">
        <v>1651</v>
      </c>
      <c r="C740" s="131" t="s">
        <v>2842</v>
      </c>
      <c r="D740" s="131" t="s">
        <v>3459</v>
      </c>
      <c r="E740" s="132">
        <v>571.38</v>
      </c>
      <c r="F740" s="132">
        <v>0</v>
      </c>
      <c r="G740" s="132">
        <f>ROUND(E740*AD740,2)</f>
        <v>0</v>
      </c>
      <c r="H740" s="132">
        <f>I740-G740</f>
        <v>0</v>
      </c>
      <c r="I740" s="132">
        <f>ROUND(E740*F740,2)</f>
        <v>0</v>
      </c>
      <c r="J740" s="132">
        <v>0.0122</v>
      </c>
      <c r="K740" s="132">
        <f>E740*J740</f>
        <v>6.970836</v>
      </c>
      <c r="M740" s="133" t="s">
        <v>1101</v>
      </c>
      <c r="N740" s="132">
        <f>IF(M740="5",H740,0)</f>
        <v>0</v>
      </c>
      <c r="Y740" s="132">
        <f>IF(AC740=0,I740,0)</f>
        <v>0</v>
      </c>
      <c r="Z740" s="132">
        <f>IF(AC740=14,I740,0)</f>
        <v>0</v>
      </c>
      <c r="AA740" s="132">
        <f>IF(AC740=20,I740,0)</f>
        <v>0</v>
      </c>
      <c r="AC740" s="125">
        <v>20</v>
      </c>
      <c r="AD740" s="125">
        <f>F740*1</f>
        <v>0</v>
      </c>
      <c r="AE740" s="125">
        <f>F740*(1-1)</f>
        <v>0</v>
      </c>
    </row>
    <row r="741" spans="1:31" s="90" customFormat="1" ht="11.25">
      <c r="A741" s="122" t="s">
        <v>581</v>
      </c>
      <c r="B741" s="122" t="s">
        <v>1652</v>
      </c>
      <c r="C741" s="122" t="s">
        <v>2843</v>
      </c>
      <c r="D741" s="122" t="s">
        <v>3459</v>
      </c>
      <c r="E741" s="123">
        <v>514.96</v>
      </c>
      <c r="F741" s="123">
        <v>0</v>
      </c>
      <c r="G741" s="123">
        <f>ROUND(E741*AD741,2)</f>
        <v>0</v>
      </c>
      <c r="H741" s="123">
        <f>I741-G741</f>
        <v>0</v>
      </c>
      <c r="I741" s="123">
        <f>ROUND(E741*F741,2)</f>
        <v>0</v>
      </c>
      <c r="J741" s="123">
        <v>0.00495</v>
      </c>
      <c r="K741" s="123">
        <f>E741*J741</f>
        <v>2.5490520000000005</v>
      </c>
      <c r="M741" s="124" t="s">
        <v>7</v>
      </c>
      <c r="N741" s="123">
        <f>IF(M741="5",H741,0)</f>
        <v>0</v>
      </c>
      <c r="Y741" s="123">
        <f>IF(AC741=0,I741,0)</f>
        <v>0</v>
      </c>
      <c r="Z741" s="123">
        <f>IF(AC741=14,I741,0)</f>
        <v>0</v>
      </c>
      <c r="AA741" s="123">
        <f>IF(AC741=20,I741,0)</f>
        <v>0</v>
      </c>
      <c r="AC741" s="125">
        <v>20</v>
      </c>
      <c r="AD741" s="125">
        <f>F741*0.188500511601809</f>
        <v>0</v>
      </c>
      <c r="AE741" s="125">
        <f>F741*(1-0.188500511601809)</f>
        <v>0</v>
      </c>
    </row>
    <row r="742" spans="1:31" s="90" customFormat="1" ht="11.25">
      <c r="A742" s="122" t="s">
        <v>582</v>
      </c>
      <c r="B742" s="122" t="s">
        <v>1653</v>
      </c>
      <c r="C742" s="122" t="s">
        <v>2844</v>
      </c>
      <c r="D742" s="122" t="s">
        <v>3455</v>
      </c>
      <c r="E742" s="123">
        <v>291.38</v>
      </c>
      <c r="F742" s="123">
        <v>0</v>
      </c>
      <c r="G742" s="123">
        <f>ROUND(E742*AD742,2)</f>
        <v>0</v>
      </c>
      <c r="H742" s="123">
        <f>I742-G742</f>
        <v>0</v>
      </c>
      <c r="I742" s="123">
        <f>ROUND(E742*F742,2)</f>
        <v>0</v>
      </c>
      <c r="J742" s="123">
        <v>0</v>
      </c>
      <c r="K742" s="123">
        <f>E742*J742</f>
        <v>0</v>
      </c>
      <c r="M742" s="124" t="s">
        <v>7</v>
      </c>
      <c r="N742" s="123">
        <f>IF(M742="5",H742,0)</f>
        <v>0</v>
      </c>
      <c r="Y742" s="123">
        <f>IF(AC742=0,I742,0)</f>
        <v>0</v>
      </c>
      <c r="Z742" s="123">
        <f>IF(AC742=14,I742,0)</f>
        <v>0</v>
      </c>
      <c r="AA742" s="123">
        <f>IF(AC742=20,I742,0)</f>
        <v>0</v>
      </c>
      <c r="AC742" s="125">
        <v>20</v>
      </c>
      <c r="AD742" s="125">
        <f>F742*0</f>
        <v>0</v>
      </c>
      <c r="AE742" s="125">
        <f>F742*(1-0)</f>
        <v>0</v>
      </c>
    </row>
    <row r="743" spans="1:31" s="90" customFormat="1" ht="11.25">
      <c r="A743" s="122" t="s">
        <v>583</v>
      </c>
      <c r="B743" s="122" t="s">
        <v>1654</v>
      </c>
      <c r="C743" s="122" t="s">
        <v>2845</v>
      </c>
      <c r="D743" s="122" t="s">
        <v>3460</v>
      </c>
      <c r="E743" s="123">
        <v>9.5911</v>
      </c>
      <c r="F743" s="123">
        <v>0</v>
      </c>
      <c r="G743" s="123">
        <f>ROUND(E743*AD743,2)</f>
        <v>0</v>
      </c>
      <c r="H743" s="123">
        <f>I743-G743</f>
        <v>0</v>
      </c>
      <c r="I743" s="123">
        <f>ROUND(E743*F743,2)</f>
        <v>0</v>
      </c>
      <c r="J743" s="123">
        <v>0</v>
      </c>
      <c r="K743" s="123">
        <f>E743*J743</f>
        <v>0</v>
      </c>
      <c r="M743" s="124" t="s">
        <v>11</v>
      </c>
      <c r="N743" s="123">
        <f>IF(M743="5",H743,0)</f>
        <v>0</v>
      </c>
      <c r="Y743" s="123">
        <f>IF(AC743=0,I743,0)</f>
        <v>0</v>
      </c>
      <c r="Z743" s="123">
        <f>IF(AC743=14,I743,0)</f>
        <v>0</v>
      </c>
      <c r="AA743" s="123">
        <f>IF(AC743=20,I743,0)</f>
        <v>0</v>
      </c>
      <c r="AC743" s="125">
        <v>20</v>
      </c>
      <c r="AD743" s="125">
        <f>F743*0</f>
        <v>0</v>
      </c>
      <c r="AE743" s="125">
        <f>F743*(1-0)</f>
        <v>0</v>
      </c>
    </row>
    <row r="744" spans="1:36" s="90" customFormat="1" ht="11.25">
      <c r="A744" s="127"/>
      <c r="B744" s="128" t="s">
        <v>788</v>
      </c>
      <c r="C744" s="129" t="s">
        <v>2846</v>
      </c>
      <c r="D744" s="130"/>
      <c r="E744" s="130"/>
      <c r="F744" s="130"/>
      <c r="G744" s="121">
        <f>SUM(G745:G747)</f>
        <v>0</v>
      </c>
      <c r="H744" s="121">
        <f>SUM(H745:H747)</f>
        <v>0</v>
      </c>
      <c r="I744" s="121">
        <f>G744+H744</f>
        <v>0</v>
      </c>
      <c r="J744" s="114"/>
      <c r="K744" s="121">
        <f>SUM(K745:K747)</f>
        <v>41.6860856</v>
      </c>
      <c r="O744" s="121">
        <f>IF(P744="PR",I744,SUM(N745:N747))</f>
        <v>0</v>
      </c>
      <c r="P744" s="114" t="s">
        <v>3490</v>
      </c>
      <c r="Q744" s="121">
        <f>IF(P744="HS",G744,0)</f>
        <v>0</v>
      </c>
      <c r="R744" s="121">
        <f>IF(P744="HS",H744-O744,0)</f>
        <v>0</v>
      </c>
      <c r="S744" s="121">
        <f>IF(P744="PS",G744,0)</f>
        <v>0</v>
      </c>
      <c r="T744" s="121">
        <f>IF(P744="PS",H744-O744,0)</f>
        <v>0</v>
      </c>
      <c r="U744" s="121">
        <f>IF(P744="MP",G744,0)</f>
        <v>0</v>
      </c>
      <c r="V744" s="121">
        <f>IF(P744="MP",H744-O744,0)</f>
        <v>0</v>
      </c>
      <c r="W744" s="121">
        <f>IF(P744="OM",G744,0)</f>
        <v>0</v>
      </c>
      <c r="X744" s="114"/>
      <c r="AH744" s="121">
        <f>SUM(Y745:Y747)</f>
        <v>0</v>
      </c>
      <c r="AI744" s="121">
        <f>SUM(Z745:Z747)</f>
        <v>0</v>
      </c>
      <c r="AJ744" s="121">
        <f>SUM(AA745:AA747)</f>
        <v>0</v>
      </c>
    </row>
    <row r="745" spans="1:31" s="90" customFormat="1" ht="11.25">
      <c r="A745" s="131" t="s">
        <v>584</v>
      </c>
      <c r="B745" s="131" t="s">
        <v>1655</v>
      </c>
      <c r="C745" s="131" t="s">
        <v>2847</v>
      </c>
      <c r="D745" s="131" t="s">
        <v>3459</v>
      </c>
      <c r="E745" s="132">
        <v>260.23</v>
      </c>
      <c r="F745" s="132">
        <v>0</v>
      </c>
      <c r="G745" s="132">
        <f>ROUND(E745*AD745,2)</f>
        <v>0</v>
      </c>
      <c r="H745" s="132">
        <f>I745-G745</f>
        <v>0</v>
      </c>
      <c r="I745" s="132">
        <f>ROUND(E745*F745,2)</f>
        <v>0</v>
      </c>
      <c r="J745" s="132">
        <v>0.132</v>
      </c>
      <c r="K745" s="132">
        <f>E745*J745</f>
        <v>34.35036</v>
      </c>
      <c r="M745" s="133" t="s">
        <v>1101</v>
      </c>
      <c r="N745" s="132">
        <f>IF(M745="5",H745,0)</f>
        <v>0</v>
      </c>
      <c r="Y745" s="132">
        <f>IF(AC745=0,I745,0)</f>
        <v>0</v>
      </c>
      <c r="Z745" s="132">
        <f>IF(AC745=14,I745,0)</f>
        <v>0</v>
      </c>
      <c r="AA745" s="132">
        <f>IF(AC745=20,I745,0)</f>
        <v>0</v>
      </c>
      <c r="AC745" s="125">
        <v>20</v>
      </c>
      <c r="AD745" s="125">
        <f>F745*1</f>
        <v>0</v>
      </c>
      <c r="AE745" s="125">
        <f>F745*(1-1)</f>
        <v>0</v>
      </c>
    </row>
    <row r="746" spans="1:31" s="90" customFormat="1" ht="11.25">
      <c r="A746" s="122" t="s">
        <v>585</v>
      </c>
      <c r="B746" s="122" t="s">
        <v>1656</v>
      </c>
      <c r="C746" s="122" t="s">
        <v>2848</v>
      </c>
      <c r="D746" s="122" t="s">
        <v>3459</v>
      </c>
      <c r="E746" s="123">
        <v>236.56</v>
      </c>
      <c r="F746" s="123">
        <v>0</v>
      </c>
      <c r="G746" s="123">
        <f>ROUND(E746*AD746,2)</f>
        <v>0</v>
      </c>
      <c r="H746" s="123">
        <f>I746-G746</f>
        <v>0</v>
      </c>
      <c r="I746" s="123">
        <f>ROUND(E746*F746,2)</f>
        <v>0</v>
      </c>
      <c r="J746" s="123">
        <v>0.03101</v>
      </c>
      <c r="K746" s="123">
        <f>E746*J746</f>
        <v>7.3357256</v>
      </c>
      <c r="M746" s="124" t="s">
        <v>7</v>
      </c>
      <c r="N746" s="123">
        <f>IF(M746="5",H746,0)</f>
        <v>0</v>
      </c>
      <c r="Y746" s="123">
        <f>IF(AC746=0,I746,0)</f>
        <v>0</v>
      </c>
      <c r="Z746" s="123">
        <f>IF(AC746=14,I746,0)</f>
        <v>0</v>
      </c>
      <c r="AA746" s="123">
        <f>IF(AC746=20,I746,0)</f>
        <v>0</v>
      </c>
      <c r="AC746" s="125">
        <v>20</v>
      </c>
      <c r="AD746" s="125">
        <f>F746*0.314644465962194</f>
        <v>0</v>
      </c>
      <c r="AE746" s="125">
        <f>F746*(1-0.314644465962194)</f>
        <v>0</v>
      </c>
    </row>
    <row r="747" spans="1:31" s="90" customFormat="1" ht="11.25">
      <c r="A747" s="122" t="s">
        <v>586</v>
      </c>
      <c r="B747" s="122" t="s">
        <v>1657</v>
      </c>
      <c r="C747" s="122" t="s">
        <v>2849</v>
      </c>
      <c r="D747" s="122" t="s">
        <v>3460</v>
      </c>
      <c r="E747" s="123">
        <v>41.68609</v>
      </c>
      <c r="F747" s="123">
        <v>0</v>
      </c>
      <c r="G747" s="123">
        <f>ROUND(E747*AD747,2)</f>
        <v>0</v>
      </c>
      <c r="H747" s="123">
        <f>I747-G747</f>
        <v>0</v>
      </c>
      <c r="I747" s="123">
        <f>ROUND(E747*F747,2)</f>
        <v>0</v>
      </c>
      <c r="J747" s="123">
        <v>0</v>
      </c>
      <c r="K747" s="123">
        <f>E747*J747</f>
        <v>0</v>
      </c>
      <c r="M747" s="124" t="s">
        <v>11</v>
      </c>
      <c r="N747" s="123">
        <f>IF(M747="5",H747,0)</f>
        <v>0</v>
      </c>
      <c r="Y747" s="123">
        <f>IF(AC747=0,I747,0)</f>
        <v>0</v>
      </c>
      <c r="Z747" s="123">
        <f>IF(AC747=14,I747,0)</f>
        <v>0</v>
      </c>
      <c r="AA747" s="123">
        <f>IF(AC747=20,I747,0)</f>
        <v>0</v>
      </c>
      <c r="AC747" s="125">
        <v>20</v>
      </c>
      <c r="AD747" s="125">
        <f>F747*0</f>
        <v>0</v>
      </c>
      <c r="AE747" s="125">
        <f>F747*(1-0)</f>
        <v>0</v>
      </c>
    </row>
    <row r="748" spans="1:36" s="90" customFormat="1" ht="11.25">
      <c r="A748" s="127"/>
      <c r="B748" s="128" t="s">
        <v>789</v>
      </c>
      <c r="C748" s="129" t="s">
        <v>2850</v>
      </c>
      <c r="D748" s="130"/>
      <c r="E748" s="130"/>
      <c r="F748" s="130"/>
      <c r="G748" s="121">
        <f>SUM(G749:G758)</f>
        <v>0</v>
      </c>
      <c r="H748" s="121">
        <f>SUM(H749:H758)</f>
        <v>0</v>
      </c>
      <c r="I748" s="121">
        <f>G748+H748</f>
        <v>0</v>
      </c>
      <c r="J748" s="114"/>
      <c r="K748" s="121">
        <f>SUM(K749:K758)</f>
        <v>1.2372925</v>
      </c>
      <c r="O748" s="121">
        <f>IF(P748="PR",I748,SUM(N749:N758))</f>
        <v>0</v>
      </c>
      <c r="P748" s="114" t="s">
        <v>3490</v>
      </c>
      <c r="Q748" s="121">
        <f>IF(P748="HS",G748,0)</f>
        <v>0</v>
      </c>
      <c r="R748" s="121">
        <f>IF(P748="HS",H748-O748,0)</f>
        <v>0</v>
      </c>
      <c r="S748" s="121">
        <f>IF(P748="PS",G748,0)</f>
        <v>0</v>
      </c>
      <c r="T748" s="121">
        <f>IF(P748="PS",H748-O748,0)</f>
        <v>0</v>
      </c>
      <c r="U748" s="121">
        <f>IF(P748="MP",G748,0)</f>
        <v>0</v>
      </c>
      <c r="V748" s="121">
        <f>IF(P748="MP",H748-O748,0)</f>
        <v>0</v>
      </c>
      <c r="W748" s="121">
        <f>IF(P748="OM",G748,0)</f>
        <v>0</v>
      </c>
      <c r="X748" s="114"/>
      <c r="AH748" s="121">
        <f>SUM(Y749:Y758)</f>
        <v>0</v>
      </c>
      <c r="AI748" s="121">
        <f>SUM(Z749:Z758)</f>
        <v>0</v>
      </c>
      <c r="AJ748" s="121">
        <f>SUM(AA749:AA758)</f>
        <v>0</v>
      </c>
    </row>
    <row r="749" spans="1:31" s="90" customFormat="1" ht="11.25">
      <c r="A749" s="122" t="s">
        <v>587</v>
      </c>
      <c r="B749" s="122" t="s">
        <v>1658</v>
      </c>
      <c r="C749" s="122" t="s">
        <v>2851</v>
      </c>
      <c r="D749" s="122" t="s">
        <v>3466</v>
      </c>
      <c r="E749" s="123">
        <v>270.7</v>
      </c>
      <c r="F749" s="123">
        <v>0</v>
      </c>
      <c r="G749" s="123">
        <f aca="true" t="shared" si="228" ref="G749:G754">ROUND(E749*AD749,2)</f>
        <v>0</v>
      </c>
      <c r="H749" s="123">
        <f aca="true" t="shared" si="229" ref="H749:H754">I749-G749</f>
        <v>0</v>
      </c>
      <c r="I749" s="123">
        <f aca="true" t="shared" si="230" ref="I749:I754">ROUND(E749*F749,2)</f>
        <v>0</v>
      </c>
      <c r="J749" s="123">
        <v>0</v>
      </c>
      <c r="K749" s="123">
        <f aca="true" t="shared" si="231" ref="K749:K754">E749*J749</f>
        <v>0</v>
      </c>
      <c r="M749" s="124" t="s">
        <v>7</v>
      </c>
      <c r="N749" s="123">
        <f aca="true" t="shared" si="232" ref="N749:N754">IF(M749="5",H749,0)</f>
        <v>0</v>
      </c>
      <c r="Y749" s="123">
        <f aca="true" t="shared" si="233" ref="Y749:Y754">IF(AC749=0,I749,0)</f>
        <v>0</v>
      </c>
      <c r="Z749" s="123">
        <f aca="true" t="shared" si="234" ref="Z749:Z754">IF(AC749=14,I749,0)</f>
        <v>0</v>
      </c>
      <c r="AA749" s="123">
        <f aca="true" t="shared" si="235" ref="AA749:AA754">IF(AC749=20,I749,0)</f>
        <v>0</v>
      </c>
      <c r="AC749" s="125">
        <v>20</v>
      </c>
      <c r="AD749" s="125">
        <f>F749*0.757575757575758</f>
        <v>0</v>
      </c>
      <c r="AE749" s="125">
        <f>F749*(1-0.757575757575758)</f>
        <v>0</v>
      </c>
    </row>
    <row r="750" spans="1:31" s="90" customFormat="1" ht="11.25">
      <c r="A750" s="122" t="s">
        <v>588</v>
      </c>
      <c r="B750" s="122" t="s">
        <v>1659</v>
      </c>
      <c r="C750" s="122" t="s">
        <v>2852</v>
      </c>
      <c r="D750" s="122" t="s">
        <v>3455</v>
      </c>
      <c r="E750" s="123">
        <v>2</v>
      </c>
      <c r="F750" s="123">
        <v>0</v>
      </c>
      <c r="G750" s="123">
        <f t="shared" si="228"/>
        <v>0</v>
      </c>
      <c r="H750" s="123">
        <f t="shared" si="229"/>
        <v>0</v>
      </c>
      <c r="I750" s="123">
        <f t="shared" si="230"/>
        <v>0</v>
      </c>
      <c r="J750" s="123">
        <v>7E-05</v>
      </c>
      <c r="K750" s="123">
        <f t="shared" si="231"/>
        <v>0.00014</v>
      </c>
      <c r="M750" s="124" t="s">
        <v>7</v>
      </c>
      <c r="N750" s="123">
        <f t="shared" si="232"/>
        <v>0</v>
      </c>
      <c r="Y750" s="123">
        <f t="shared" si="233"/>
        <v>0</v>
      </c>
      <c r="Z750" s="123">
        <f t="shared" si="234"/>
        <v>0</v>
      </c>
      <c r="AA750" s="123">
        <f t="shared" si="235"/>
        <v>0</v>
      </c>
      <c r="AC750" s="125">
        <v>20</v>
      </c>
      <c r="AD750" s="125">
        <f>F750*0.238970588235294</f>
        <v>0</v>
      </c>
      <c r="AE750" s="125">
        <f>F750*(1-0.238970588235294)</f>
        <v>0</v>
      </c>
    </row>
    <row r="751" spans="1:31" s="90" customFormat="1" ht="11.25">
      <c r="A751" s="122" t="s">
        <v>589</v>
      </c>
      <c r="B751" s="122" t="s">
        <v>1660</v>
      </c>
      <c r="C751" s="122" t="s">
        <v>2853</v>
      </c>
      <c r="D751" s="122" t="s">
        <v>3455</v>
      </c>
      <c r="E751" s="123">
        <v>4</v>
      </c>
      <c r="F751" s="123">
        <v>0</v>
      </c>
      <c r="G751" s="123">
        <f t="shared" si="228"/>
        <v>0</v>
      </c>
      <c r="H751" s="123">
        <f t="shared" si="229"/>
        <v>0</v>
      </c>
      <c r="I751" s="123">
        <f t="shared" si="230"/>
        <v>0</v>
      </c>
      <c r="J751" s="123">
        <v>3E-05</v>
      </c>
      <c r="K751" s="123">
        <f t="shared" si="231"/>
        <v>0.00012</v>
      </c>
      <c r="M751" s="124" t="s">
        <v>7</v>
      </c>
      <c r="N751" s="123">
        <f t="shared" si="232"/>
        <v>0</v>
      </c>
      <c r="Y751" s="123">
        <f t="shared" si="233"/>
        <v>0</v>
      </c>
      <c r="Z751" s="123">
        <f t="shared" si="234"/>
        <v>0</v>
      </c>
      <c r="AA751" s="123">
        <f t="shared" si="235"/>
        <v>0</v>
      </c>
      <c r="AC751" s="125">
        <v>20</v>
      </c>
      <c r="AD751" s="125">
        <f>F751*0.421461897356143</f>
        <v>0</v>
      </c>
      <c r="AE751" s="125">
        <f>F751*(1-0.421461897356143)</f>
        <v>0</v>
      </c>
    </row>
    <row r="752" spans="1:31" s="90" customFormat="1" ht="11.25">
      <c r="A752" s="122" t="s">
        <v>590</v>
      </c>
      <c r="B752" s="122" t="s">
        <v>1661</v>
      </c>
      <c r="C752" s="122" t="s">
        <v>2854</v>
      </c>
      <c r="D752" s="122" t="s">
        <v>3455</v>
      </c>
      <c r="E752" s="123">
        <v>2</v>
      </c>
      <c r="F752" s="123">
        <v>0</v>
      </c>
      <c r="G752" s="123">
        <f t="shared" si="228"/>
        <v>0</v>
      </c>
      <c r="H752" s="123">
        <f t="shared" si="229"/>
        <v>0</v>
      </c>
      <c r="I752" s="123">
        <f t="shared" si="230"/>
        <v>0</v>
      </c>
      <c r="J752" s="123">
        <v>9E-05</v>
      </c>
      <c r="K752" s="123">
        <f t="shared" si="231"/>
        <v>0.00018</v>
      </c>
      <c r="M752" s="124" t="s">
        <v>7</v>
      </c>
      <c r="N752" s="123">
        <f t="shared" si="232"/>
        <v>0</v>
      </c>
      <c r="Y752" s="123">
        <f t="shared" si="233"/>
        <v>0</v>
      </c>
      <c r="Z752" s="123">
        <f t="shared" si="234"/>
        <v>0</v>
      </c>
      <c r="AA752" s="123">
        <f t="shared" si="235"/>
        <v>0</v>
      </c>
      <c r="AC752" s="125">
        <v>20</v>
      </c>
      <c r="AD752" s="125">
        <f>F752*0.263093415007657</f>
        <v>0</v>
      </c>
      <c r="AE752" s="125">
        <f>F752*(1-0.263093415007657)</f>
        <v>0</v>
      </c>
    </row>
    <row r="753" spans="1:31" s="90" customFormat="1" ht="11.25">
      <c r="A753" s="122" t="s">
        <v>591</v>
      </c>
      <c r="B753" s="122" t="s">
        <v>1662</v>
      </c>
      <c r="C753" s="122" t="s">
        <v>2855</v>
      </c>
      <c r="D753" s="122" t="s">
        <v>3455</v>
      </c>
      <c r="E753" s="123">
        <v>24</v>
      </c>
      <c r="F753" s="123">
        <v>0</v>
      </c>
      <c r="G753" s="123">
        <f t="shared" si="228"/>
        <v>0</v>
      </c>
      <c r="H753" s="123">
        <f t="shared" si="229"/>
        <v>0</v>
      </c>
      <c r="I753" s="123">
        <f t="shared" si="230"/>
        <v>0</v>
      </c>
      <c r="J753" s="123">
        <v>0.00017</v>
      </c>
      <c r="K753" s="123">
        <f t="shared" si="231"/>
        <v>0.00408</v>
      </c>
      <c r="M753" s="124" t="s">
        <v>7</v>
      </c>
      <c r="N753" s="123">
        <f t="shared" si="232"/>
        <v>0</v>
      </c>
      <c r="Y753" s="123">
        <f t="shared" si="233"/>
        <v>0</v>
      </c>
      <c r="Z753" s="123">
        <f t="shared" si="234"/>
        <v>0</v>
      </c>
      <c r="AA753" s="123">
        <f t="shared" si="235"/>
        <v>0</v>
      </c>
      <c r="AC753" s="125">
        <v>20</v>
      </c>
      <c r="AD753" s="125">
        <f>F753*0.346801346801347</f>
        <v>0</v>
      </c>
      <c r="AE753" s="125">
        <f>F753*(1-0.346801346801347)</f>
        <v>0</v>
      </c>
    </row>
    <row r="754" spans="1:31" s="90" customFormat="1" ht="11.25">
      <c r="A754" s="122" t="s">
        <v>592</v>
      </c>
      <c r="B754" s="122" t="s">
        <v>1663</v>
      </c>
      <c r="C754" s="122" t="s">
        <v>2856</v>
      </c>
      <c r="D754" s="122" t="s">
        <v>3459</v>
      </c>
      <c r="E754" s="123">
        <v>189.16</v>
      </c>
      <c r="F754" s="123">
        <v>0</v>
      </c>
      <c r="G754" s="123">
        <f t="shared" si="228"/>
        <v>0</v>
      </c>
      <c r="H754" s="123">
        <f t="shared" si="229"/>
        <v>0</v>
      </c>
      <c r="I754" s="123">
        <f t="shared" si="230"/>
        <v>0</v>
      </c>
      <c r="J754" s="123">
        <v>0.00051</v>
      </c>
      <c r="K754" s="123">
        <f t="shared" si="231"/>
        <v>0.0964716</v>
      </c>
      <c r="M754" s="124" t="s">
        <v>9</v>
      </c>
      <c r="N754" s="123">
        <f t="shared" si="232"/>
        <v>0</v>
      </c>
      <c r="Y754" s="123">
        <f t="shared" si="233"/>
        <v>0</v>
      </c>
      <c r="Z754" s="123">
        <f t="shared" si="234"/>
        <v>0</v>
      </c>
      <c r="AA754" s="123">
        <f t="shared" si="235"/>
        <v>0</v>
      </c>
      <c r="AC754" s="125">
        <v>20</v>
      </c>
      <c r="AD754" s="125">
        <f>F754*0.365826288621231</f>
        <v>0</v>
      </c>
      <c r="AE754" s="125">
        <f>F754*(1-0.365826288621231)</f>
        <v>0</v>
      </c>
    </row>
    <row r="755" s="90" customFormat="1" ht="11.25">
      <c r="C755" s="126" t="s">
        <v>2857</v>
      </c>
    </row>
    <row r="756" spans="1:31" s="90" customFormat="1" ht="11.25">
      <c r="A756" s="122" t="s">
        <v>593</v>
      </c>
      <c r="B756" s="122" t="s">
        <v>1664</v>
      </c>
      <c r="C756" s="122" t="s">
        <v>2858</v>
      </c>
      <c r="D756" s="122" t="s">
        <v>3459</v>
      </c>
      <c r="E756" s="123">
        <v>2413.99</v>
      </c>
      <c r="F756" s="123">
        <v>0</v>
      </c>
      <c r="G756" s="123">
        <f>ROUND(E756*AD756,2)</f>
        <v>0</v>
      </c>
      <c r="H756" s="123">
        <f>I756-G756</f>
        <v>0</v>
      </c>
      <c r="I756" s="123">
        <f>ROUND(E756*F756,2)</f>
        <v>0</v>
      </c>
      <c r="J756" s="123">
        <v>0.00022</v>
      </c>
      <c r="K756" s="123">
        <f>E756*J756</f>
        <v>0.5310777999999999</v>
      </c>
      <c r="M756" s="124" t="s">
        <v>9</v>
      </c>
      <c r="N756" s="123">
        <f>IF(M756="5",H756,0)</f>
        <v>0</v>
      </c>
      <c r="Y756" s="123">
        <f>IF(AC756=0,I756,0)</f>
        <v>0</v>
      </c>
      <c r="Z756" s="123">
        <f>IF(AC756=14,I756,0)</f>
        <v>0</v>
      </c>
      <c r="AA756" s="123">
        <f>IF(AC756=20,I756,0)</f>
        <v>0</v>
      </c>
      <c r="AC756" s="125">
        <v>20</v>
      </c>
      <c r="AD756" s="125">
        <f>F756*0.60879523591388</f>
        <v>0</v>
      </c>
      <c r="AE756" s="125">
        <f>F756*(1-0.60879523591388)</f>
        <v>0</v>
      </c>
    </row>
    <row r="757" spans="1:31" s="90" customFormat="1" ht="11.25">
      <c r="A757" s="122" t="s">
        <v>594</v>
      </c>
      <c r="B757" s="122" t="s">
        <v>1665</v>
      </c>
      <c r="C757" s="122" t="s">
        <v>2859</v>
      </c>
      <c r="D757" s="122" t="s">
        <v>3459</v>
      </c>
      <c r="E757" s="123">
        <v>442.71</v>
      </c>
      <c r="F757" s="123">
        <v>0</v>
      </c>
      <c r="G757" s="123">
        <f>ROUND(E757*AD757,2)</f>
        <v>0</v>
      </c>
      <c r="H757" s="123">
        <f>I757-G757</f>
        <v>0</v>
      </c>
      <c r="I757" s="123">
        <f>ROUND(E757*F757,2)</f>
        <v>0</v>
      </c>
      <c r="J757" s="123">
        <v>0.00109</v>
      </c>
      <c r="K757" s="123">
        <f>E757*J757</f>
        <v>0.4825539</v>
      </c>
      <c r="M757" s="124" t="s">
        <v>7</v>
      </c>
      <c r="N757" s="123">
        <f>IF(M757="5",H757,0)</f>
        <v>0</v>
      </c>
      <c r="Y757" s="123">
        <f>IF(AC757=0,I757,0)</f>
        <v>0</v>
      </c>
      <c r="Z757" s="123">
        <f>IF(AC757=14,I757,0)</f>
        <v>0</v>
      </c>
      <c r="AA757" s="123">
        <f>IF(AC757=20,I757,0)</f>
        <v>0</v>
      </c>
      <c r="AC757" s="125">
        <v>20</v>
      </c>
      <c r="AD757" s="125">
        <f>F757*0.592062890698996</f>
        <v>0</v>
      </c>
      <c r="AE757" s="125">
        <f>F757*(1-0.592062890698996)</f>
        <v>0</v>
      </c>
    </row>
    <row r="758" spans="1:31" s="90" customFormat="1" ht="11.25">
      <c r="A758" s="122" t="s">
        <v>595</v>
      </c>
      <c r="B758" s="122" t="s">
        <v>1666</v>
      </c>
      <c r="C758" s="122" t="s">
        <v>2860</v>
      </c>
      <c r="D758" s="122" t="s">
        <v>3459</v>
      </c>
      <c r="E758" s="123">
        <v>84.02</v>
      </c>
      <c r="F758" s="123">
        <v>0</v>
      </c>
      <c r="G758" s="123">
        <f>ROUND(E758*AD758,2)</f>
        <v>0</v>
      </c>
      <c r="H758" s="123">
        <f>I758-G758</f>
        <v>0</v>
      </c>
      <c r="I758" s="123">
        <f>ROUND(E758*F758,2)</f>
        <v>0</v>
      </c>
      <c r="J758" s="123">
        <v>0.00146</v>
      </c>
      <c r="K758" s="123">
        <f>E758*J758</f>
        <v>0.12266919999999999</v>
      </c>
      <c r="M758" s="124" t="s">
        <v>7</v>
      </c>
      <c r="N758" s="123">
        <f>IF(M758="5",H758,0)</f>
        <v>0</v>
      </c>
      <c r="Y758" s="123">
        <f>IF(AC758=0,I758,0)</f>
        <v>0</v>
      </c>
      <c r="Z758" s="123">
        <f>IF(AC758=14,I758,0)</f>
        <v>0</v>
      </c>
      <c r="AA758" s="123">
        <f>IF(AC758=20,I758,0)</f>
        <v>0</v>
      </c>
      <c r="AC758" s="125">
        <v>20</v>
      </c>
      <c r="AD758" s="125">
        <f>F758*0.519547578067372</f>
        <v>0</v>
      </c>
      <c r="AE758" s="125">
        <f>F758*(1-0.519547578067372)</f>
        <v>0</v>
      </c>
    </row>
    <row r="759" spans="1:36" s="90" customFormat="1" ht="11.25">
      <c r="A759" s="127"/>
      <c r="B759" s="128" t="s">
        <v>790</v>
      </c>
      <c r="C759" s="129" t="s">
        <v>2861</v>
      </c>
      <c r="D759" s="130"/>
      <c r="E759" s="130"/>
      <c r="F759" s="130"/>
      <c r="G759" s="121">
        <f>SUM(G760:G761)</f>
        <v>0</v>
      </c>
      <c r="H759" s="121">
        <f>SUM(H760:H761)</f>
        <v>0</v>
      </c>
      <c r="I759" s="121">
        <f>G759+H759</f>
        <v>0</v>
      </c>
      <c r="J759" s="114"/>
      <c r="K759" s="121">
        <f>SUM(K760:K761)</f>
        <v>1.5994374</v>
      </c>
      <c r="O759" s="121">
        <f>IF(P759="PR",I759,SUM(N760:N761))</f>
        <v>0</v>
      </c>
      <c r="P759" s="114" t="s">
        <v>3490</v>
      </c>
      <c r="Q759" s="121">
        <f>IF(P759="HS",G759,0)</f>
        <v>0</v>
      </c>
      <c r="R759" s="121">
        <f>IF(P759="HS",H759-O759,0)</f>
        <v>0</v>
      </c>
      <c r="S759" s="121">
        <f>IF(P759="PS",G759,0)</f>
        <v>0</v>
      </c>
      <c r="T759" s="121">
        <f>IF(P759="PS",H759-O759,0)</f>
        <v>0</v>
      </c>
      <c r="U759" s="121">
        <f>IF(P759="MP",G759,0)</f>
        <v>0</v>
      </c>
      <c r="V759" s="121">
        <f>IF(P759="MP",H759-O759,0)</f>
        <v>0</v>
      </c>
      <c r="W759" s="121">
        <f>IF(P759="OM",G759,0)</f>
        <v>0</v>
      </c>
      <c r="X759" s="114"/>
      <c r="AH759" s="121">
        <f>SUM(Y760:Y761)</f>
        <v>0</v>
      </c>
      <c r="AI759" s="121">
        <f>SUM(Z760:Z761)</f>
        <v>0</v>
      </c>
      <c r="AJ759" s="121">
        <f>SUM(AA760:AA761)</f>
        <v>0</v>
      </c>
    </row>
    <row r="760" spans="1:31" s="90" customFormat="1" ht="11.25">
      <c r="A760" s="122" t="s">
        <v>596</v>
      </c>
      <c r="B760" s="122" t="s">
        <v>1667</v>
      </c>
      <c r="C760" s="122" t="s">
        <v>2862</v>
      </c>
      <c r="D760" s="122" t="s">
        <v>3459</v>
      </c>
      <c r="E760" s="123">
        <v>397.82</v>
      </c>
      <c r="F760" s="123">
        <v>0</v>
      </c>
      <c r="G760" s="123">
        <f>ROUND(E760*AD760,2)</f>
        <v>0</v>
      </c>
      <c r="H760" s="123">
        <f>I760-G760</f>
        <v>0</v>
      </c>
      <c r="I760" s="123">
        <f>ROUND(E760*F760,2)</f>
        <v>0</v>
      </c>
      <c r="J760" s="123">
        <v>0.00042</v>
      </c>
      <c r="K760" s="123">
        <f>E760*J760</f>
        <v>0.1670844</v>
      </c>
      <c r="M760" s="124" t="s">
        <v>7</v>
      </c>
      <c r="N760" s="123">
        <f>IF(M760="5",H760,0)</f>
        <v>0</v>
      </c>
      <c r="Y760" s="123">
        <f>IF(AC760=0,I760,0)</f>
        <v>0</v>
      </c>
      <c r="Z760" s="123">
        <f>IF(AC760=14,I760,0)</f>
        <v>0</v>
      </c>
      <c r="AA760" s="123">
        <f>IF(AC760=20,I760,0)</f>
        <v>0</v>
      </c>
      <c r="AC760" s="125">
        <v>20</v>
      </c>
      <c r="AD760" s="125">
        <f>F760*0.309090909090909</f>
        <v>0</v>
      </c>
      <c r="AE760" s="125">
        <f>F760*(1-0.309090909090909)</f>
        <v>0</v>
      </c>
    </row>
    <row r="761" spans="1:31" s="90" customFormat="1" ht="11.25">
      <c r="A761" s="122" t="s">
        <v>597</v>
      </c>
      <c r="B761" s="122" t="s">
        <v>1668</v>
      </c>
      <c r="C761" s="122" t="s">
        <v>2863</v>
      </c>
      <c r="D761" s="122" t="s">
        <v>3459</v>
      </c>
      <c r="E761" s="123">
        <v>3672.7</v>
      </c>
      <c r="F761" s="123">
        <v>0</v>
      </c>
      <c r="G761" s="123">
        <f>ROUND(E761*AD761,2)</f>
        <v>0</v>
      </c>
      <c r="H761" s="123">
        <f>I761-G761</f>
        <v>0</v>
      </c>
      <c r="I761" s="123">
        <f>ROUND(E761*F761,2)</f>
        <v>0</v>
      </c>
      <c r="J761" s="123">
        <v>0.00039</v>
      </c>
      <c r="K761" s="123">
        <f>E761*J761</f>
        <v>1.432353</v>
      </c>
      <c r="M761" s="124" t="s">
        <v>7</v>
      </c>
      <c r="N761" s="123">
        <f>IF(M761="5",H761,0)</f>
        <v>0</v>
      </c>
      <c r="Y761" s="123">
        <f>IF(AC761=0,I761,0)</f>
        <v>0</v>
      </c>
      <c r="Z761" s="123">
        <f>IF(AC761=14,I761,0)</f>
        <v>0</v>
      </c>
      <c r="AA761" s="123">
        <f>IF(AC761=20,I761,0)</f>
        <v>0</v>
      </c>
      <c r="AC761" s="125">
        <v>20</v>
      </c>
      <c r="AD761" s="125">
        <f>F761*0.298337707786527</f>
        <v>0</v>
      </c>
      <c r="AE761" s="125">
        <f>F761*(1-0.298337707786527)</f>
        <v>0</v>
      </c>
    </row>
    <row r="762" spans="1:36" s="90" customFormat="1" ht="11.25">
      <c r="A762" s="127"/>
      <c r="B762" s="128" t="s">
        <v>93</v>
      </c>
      <c r="C762" s="129" t="s">
        <v>2864</v>
      </c>
      <c r="D762" s="130"/>
      <c r="E762" s="130"/>
      <c r="F762" s="130"/>
      <c r="G762" s="121">
        <f>SUM(G763:G807)</f>
        <v>0</v>
      </c>
      <c r="H762" s="121">
        <f>SUM(H763:H807)</f>
        <v>0</v>
      </c>
      <c r="I762" s="121">
        <f>G762+H762</f>
        <v>0</v>
      </c>
      <c r="J762" s="114"/>
      <c r="K762" s="121">
        <f>SUM(K763:K807)</f>
        <v>59.39680100000001</v>
      </c>
      <c r="O762" s="121">
        <f>IF(P762="PR",I762,SUM(N763:N807))</f>
        <v>0</v>
      </c>
      <c r="P762" s="114" t="s">
        <v>3489</v>
      </c>
      <c r="Q762" s="121">
        <f>IF(P762="HS",G762,0)</f>
        <v>0</v>
      </c>
      <c r="R762" s="121">
        <f>IF(P762="HS",H762-O762,0)</f>
        <v>0</v>
      </c>
      <c r="S762" s="121">
        <f>IF(P762="PS",G762,0)</f>
        <v>0</v>
      </c>
      <c r="T762" s="121">
        <f>IF(P762="PS",H762-O762,0)</f>
        <v>0</v>
      </c>
      <c r="U762" s="121">
        <f>IF(P762="MP",G762,0)</f>
        <v>0</v>
      </c>
      <c r="V762" s="121">
        <f>IF(P762="MP",H762-O762,0)</f>
        <v>0</v>
      </c>
      <c r="W762" s="121">
        <f>IF(P762="OM",G762,0)</f>
        <v>0</v>
      </c>
      <c r="X762" s="114"/>
      <c r="AH762" s="121">
        <f>SUM(Y763:Y807)</f>
        <v>0</v>
      </c>
      <c r="AI762" s="121">
        <f>SUM(Z763:Z807)</f>
        <v>0</v>
      </c>
      <c r="AJ762" s="121">
        <f>SUM(AA763:AA807)</f>
        <v>0</v>
      </c>
    </row>
    <row r="763" spans="1:31" s="90" customFormat="1" ht="11.25">
      <c r="A763" s="131" t="s">
        <v>598</v>
      </c>
      <c r="B763" s="131" t="s">
        <v>1669</v>
      </c>
      <c r="C763" s="131" t="s">
        <v>2865</v>
      </c>
      <c r="D763" s="131" t="s">
        <v>3456</v>
      </c>
      <c r="E763" s="132">
        <v>8</v>
      </c>
      <c r="F763" s="132">
        <v>0</v>
      </c>
      <c r="G763" s="132">
        <f aca="true" t="shared" si="236" ref="G763:G800">ROUND(E763*AD763,2)</f>
        <v>0</v>
      </c>
      <c r="H763" s="132">
        <f aca="true" t="shared" si="237" ref="H763:H800">I763-G763</f>
        <v>0</v>
      </c>
      <c r="I763" s="132">
        <f aca="true" t="shared" si="238" ref="I763:I800">ROUND(E763*F763,2)</f>
        <v>0</v>
      </c>
      <c r="J763" s="132">
        <v>0.00075</v>
      </c>
      <c r="K763" s="132">
        <f aca="true" t="shared" si="239" ref="K763:K800">E763*J763</f>
        <v>0.006</v>
      </c>
      <c r="M763" s="133" t="s">
        <v>1101</v>
      </c>
      <c r="N763" s="132">
        <f aca="true" t="shared" si="240" ref="N763:N800">IF(M763="5",H763,0)</f>
        <v>0</v>
      </c>
      <c r="Y763" s="132">
        <f aca="true" t="shared" si="241" ref="Y763:Y800">IF(AC763=0,I763,0)</f>
        <v>0</v>
      </c>
      <c r="Z763" s="132">
        <f aca="true" t="shared" si="242" ref="Z763:Z800">IF(AC763=14,I763,0)</f>
        <v>0</v>
      </c>
      <c r="AA763" s="132">
        <f aca="true" t="shared" si="243" ref="AA763:AA800">IF(AC763=20,I763,0)</f>
        <v>0</v>
      </c>
      <c r="AC763" s="125">
        <v>20</v>
      </c>
      <c r="AD763" s="125">
        <f aca="true" t="shared" si="244" ref="AD763:AD795">F763*1</f>
        <v>0</v>
      </c>
      <c r="AE763" s="125">
        <f aca="true" t="shared" si="245" ref="AE763:AE795">F763*(1-1)</f>
        <v>0</v>
      </c>
    </row>
    <row r="764" spans="1:31" s="90" customFormat="1" ht="11.25">
      <c r="A764" s="131" t="s">
        <v>599</v>
      </c>
      <c r="B764" s="131" t="s">
        <v>1670</v>
      </c>
      <c r="C764" s="131" t="s">
        <v>2866</v>
      </c>
      <c r="D764" s="131" t="s">
        <v>3456</v>
      </c>
      <c r="E764" s="132">
        <v>11</v>
      </c>
      <c r="F764" s="132">
        <v>0</v>
      </c>
      <c r="G764" s="132">
        <f t="shared" si="236"/>
        <v>0</v>
      </c>
      <c r="H764" s="132">
        <f t="shared" si="237"/>
        <v>0</v>
      </c>
      <c r="I764" s="132">
        <f t="shared" si="238"/>
        <v>0</v>
      </c>
      <c r="J764" s="132">
        <v>0.0015</v>
      </c>
      <c r="K764" s="132">
        <f t="shared" si="239"/>
        <v>0.0165</v>
      </c>
      <c r="M764" s="133" t="s">
        <v>1101</v>
      </c>
      <c r="N764" s="132">
        <f t="shared" si="240"/>
        <v>0</v>
      </c>
      <c r="Y764" s="132">
        <f t="shared" si="241"/>
        <v>0</v>
      </c>
      <c r="Z764" s="132">
        <f t="shared" si="242"/>
        <v>0</v>
      </c>
      <c r="AA764" s="132">
        <f t="shared" si="243"/>
        <v>0</v>
      </c>
      <c r="AC764" s="125">
        <v>20</v>
      </c>
      <c r="AD764" s="125">
        <f t="shared" si="244"/>
        <v>0</v>
      </c>
      <c r="AE764" s="125">
        <f t="shared" si="245"/>
        <v>0</v>
      </c>
    </row>
    <row r="765" spans="1:31" s="90" customFormat="1" ht="11.25">
      <c r="A765" s="131" t="s">
        <v>600</v>
      </c>
      <c r="B765" s="131" t="s">
        <v>1671</v>
      </c>
      <c r="C765" s="131" t="s">
        <v>2867</v>
      </c>
      <c r="D765" s="131" t="s">
        <v>3456</v>
      </c>
      <c r="E765" s="132">
        <v>4</v>
      </c>
      <c r="F765" s="132">
        <v>0</v>
      </c>
      <c r="G765" s="132">
        <f t="shared" si="236"/>
        <v>0</v>
      </c>
      <c r="H765" s="132">
        <f t="shared" si="237"/>
        <v>0</v>
      </c>
      <c r="I765" s="132">
        <f t="shared" si="238"/>
        <v>0</v>
      </c>
      <c r="J765" s="132">
        <v>0.0045</v>
      </c>
      <c r="K765" s="132">
        <f t="shared" si="239"/>
        <v>0.018</v>
      </c>
      <c r="M765" s="133" t="s">
        <v>1101</v>
      </c>
      <c r="N765" s="132">
        <f t="shared" si="240"/>
        <v>0</v>
      </c>
      <c r="Y765" s="132">
        <f t="shared" si="241"/>
        <v>0</v>
      </c>
      <c r="Z765" s="132">
        <f t="shared" si="242"/>
        <v>0</v>
      </c>
      <c r="AA765" s="132">
        <f t="shared" si="243"/>
        <v>0</v>
      </c>
      <c r="AC765" s="125">
        <v>20</v>
      </c>
      <c r="AD765" s="125">
        <f t="shared" si="244"/>
        <v>0</v>
      </c>
      <c r="AE765" s="125">
        <f t="shared" si="245"/>
        <v>0</v>
      </c>
    </row>
    <row r="766" spans="1:31" s="90" customFormat="1" ht="11.25">
      <c r="A766" s="131" t="s">
        <v>601</v>
      </c>
      <c r="B766" s="131" t="s">
        <v>1672</v>
      </c>
      <c r="C766" s="131" t="s">
        <v>2868</v>
      </c>
      <c r="D766" s="131" t="s">
        <v>3456</v>
      </c>
      <c r="E766" s="132">
        <v>5</v>
      </c>
      <c r="F766" s="132">
        <v>0</v>
      </c>
      <c r="G766" s="132">
        <f t="shared" si="236"/>
        <v>0</v>
      </c>
      <c r="H766" s="132">
        <f t="shared" si="237"/>
        <v>0</v>
      </c>
      <c r="I766" s="132">
        <f t="shared" si="238"/>
        <v>0</v>
      </c>
      <c r="J766" s="132">
        <v>0.0075</v>
      </c>
      <c r="K766" s="132">
        <f t="shared" si="239"/>
        <v>0.0375</v>
      </c>
      <c r="M766" s="133" t="s">
        <v>1101</v>
      </c>
      <c r="N766" s="132">
        <f t="shared" si="240"/>
        <v>0</v>
      </c>
      <c r="Y766" s="132">
        <f t="shared" si="241"/>
        <v>0</v>
      </c>
      <c r="Z766" s="132">
        <f t="shared" si="242"/>
        <v>0</v>
      </c>
      <c r="AA766" s="132">
        <f t="shared" si="243"/>
        <v>0</v>
      </c>
      <c r="AC766" s="125">
        <v>20</v>
      </c>
      <c r="AD766" s="125">
        <f t="shared" si="244"/>
        <v>0</v>
      </c>
      <c r="AE766" s="125">
        <f t="shared" si="245"/>
        <v>0</v>
      </c>
    </row>
    <row r="767" spans="1:31" s="90" customFormat="1" ht="11.25">
      <c r="A767" s="131" t="s">
        <v>602</v>
      </c>
      <c r="B767" s="131" t="s">
        <v>1673</v>
      </c>
      <c r="C767" s="131" t="s">
        <v>2869</v>
      </c>
      <c r="D767" s="131" t="s">
        <v>3456</v>
      </c>
      <c r="E767" s="132">
        <v>7</v>
      </c>
      <c r="F767" s="132">
        <v>0</v>
      </c>
      <c r="G767" s="132">
        <f t="shared" si="236"/>
        <v>0</v>
      </c>
      <c r="H767" s="132">
        <f t="shared" si="237"/>
        <v>0</v>
      </c>
      <c r="I767" s="132">
        <f t="shared" si="238"/>
        <v>0</v>
      </c>
      <c r="J767" s="132">
        <v>0.00085</v>
      </c>
      <c r="K767" s="132">
        <f t="shared" si="239"/>
        <v>0.0059499999999999996</v>
      </c>
      <c r="M767" s="133" t="s">
        <v>1101</v>
      </c>
      <c r="N767" s="132">
        <f t="shared" si="240"/>
        <v>0</v>
      </c>
      <c r="Y767" s="132">
        <f t="shared" si="241"/>
        <v>0</v>
      </c>
      <c r="Z767" s="132">
        <f t="shared" si="242"/>
        <v>0</v>
      </c>
      <c r="AA767" s="132">
        <f t="shared" si="243"/>
        <v>0</v>
      </c>
      <c r="AC767" s="125">
        <v>20</v>
      </c>
      <c r="AD767" s="125">
        <f t="shared" si="244"/>
        <v>0</v>
      </c>
      <c r="AE767" s="125">
        <f t="shared" si="245"/>
        <v>0</v>
      </c>
    </row>
    <row r="768" spans="1:31" s="90" customFormat="1" ht="11.25">
      <c r="A768" s="131" t="s">
        <v>603</v>
      </c>
      <c r="B768" s="131" t="s">
        <v>1674</v>
      </c>
      <c r="C768" s="131" t="s">
        <v>2870</v>
      </c>
      <c r="D768" s="131" t="s">
        <v>3456</v>
      </c>
      <c r="E768" s="132">
        <v>16</v>
      </c>
      <c r="F768" s="132">
        <v>0</v>
      </c>
      <c r="G768" s="132">
        <f t="shared" si="236"/>
        <v>0</v>
      </c>
      <c r="H768" s="132">
        <f t="shared" si="237"/>
        <v>0</v>
      </c>
      <c r="I768" s="132">
        <f t="shared" si="238"/>
        <v>0</v>
      </c>
      <c r="J768" s="132">
        <v>0.0017</v>
      </c>
      <c r="K768" s="132">
        <f t="shared" si="239"/>
        <v>0.0272</v>
      </c>
      <c r="M768" s="133" t="s">
        <v>1101</v>
      </c>
      <c r="N768" s="132">
        <f t="shared" si="240"/>
        <v>0</v>
      </c>
      <c r="Y768" s="132">
        <f t="shared" si="241"/>
        <v>0</v>
      </c>
      <c r="Z768" s="132">
        <f t="shared" si="242"/>
        <v>0</v>
      </c>
      <c r="AA768" s="132">
        <f t="shared" si="243"/>
        <v>0</v>
      </c>
      <c r="AC768" s="125">
        <v>20</v>
      </c>
      <c r="AD768" s="125">
        <f t="shared" si="244"/>
        <v>0</v>
      </c>
      <c r="AE768" s="125">
        <f t="shared" si="245"/>
        <v>0</v>
      </c>
    </row>
    <row r="769" spans="1:31" s="90" customFormat="1" ht="11.25">
      <c r="A769" s="131" t="s">
        <v>604</v>
      </c>
      <c r="B769" s="131" t="s">
        <v>1675</v>
      </c>
      <c r="C769" s="131" t="s">
        <v>2871</v>
      </c>
      <c r="D769" s="131" t="s">
        <v>3456</v>
      </c>
      <c r="E769" s="132">
        <v>3</v>
      </c>
      <c r="F769" s="132">
        <v>0</v>
      </c>
      <c r="G769" s="132">
        <f t="shared" si="236"/>
        <v>0</v>
      </c>
      <c r="H769" s="132">
        <f t="shared" si="237"/>
        <v>0</v>
      </c>
      <c r="I769" s="132">
        <f t="shared" si="238"/>
        <v>0</v>
      </c>
      <c r="J769" s="132">
        <v>0.0051</v>
      </c>
      <c r="K769" s="132">
        <f t="shared" si="239"/>
        <v>0.015300000000000001</v>
      </c>
      <c r="M769" s="133" t="s">
        <v>1101</v>
      </c>
      <c r="N769" s="132">
        <f t="shared" si="240"/>
        <v>0</v>
      </c>
      <c r="Y769" s="132">
        <f t="shared" si="241"/>
        <v>0</v>
      </c>
      <c r="Z769" s="132">
        <f t="shared" si="242"/>
        <v>0</v>
      </c>
      <c r="AA769" s="132">
        <f t="shared" si="243"/>
        <v>0</v>
      </c>
      <c r="AC769" s="125">
        <v>20</v>
      </c>
      <c r="AD769" s="125">
        <f t="shared" si="244"/>
        <v>0</v>
      </c>
      <c r="AE769" s="125">
        <f t="shared" si="245"/>
        <v>0</v>
      </c>
    </row>
    <row r="770" spans="1:31" s="90" customFormat="1" ht="11.25">
      <c r="A770" s="131" t="s">
        <v>605</v>
      </c>
      <c r="B770" s="131" t="s">
        <v>1676</v>
      </c>
      <c r="C770" s="131" t="s">
        <v>2872</v>
      </c>
      <c r="D770" s="131" t="s">
        <v>3456</v>
      </c>
      <c r="E770" s="132">
        <v>10</v>
      </c>
      <c r="F770" s="132">
        <v>0</v>
      </c>
      <c r="G770" s="132">
        <f t="shared" si="236"/>
        <v>0</v>
      </c>
      <c r="H770" s="132">
        <f t="shared" si="237"/>
        <v>0</v>
      </c>
      <c r="I770" s="132">
        <f t="shared" si="238"/>
        <v>0</v>
      </c>
      <c r="J770" s="132">
        <v>0.0085</v>
      </c>
      <c r="K770" s="132">
        <f t="shared" si="239"/>
        <v>0.085</v>
      </c>
      <c r="M770" s="133" t="s">
        <v>1101</v>
      </c>
      <c r="N770" s="132">
        <f t="shared" si="240"/>
        <v>0</v>
      </c>
      <c r="Y770" s="132">
        <f t="shared" si="241"/>
        <v>0</v>
      </c>
      <c r="Z770" s="132">
        <f t="shared" si="242"/>
        <v>0</v>
      </c>
      <c r="AA770" s="132">
        <f t="shared" si="243"/>
        <v>0</v>
      </c>
      <c r="AC770" s="125">
        <v>20</v>
      </c>
      <c r="AD770" s="125">
        <f t="shared" si="244"/>
        <v>0</v>
      </c>
      <c r="AE770" s="125">
        <f t="shared" si="245"/>
        <v>0</v>
      </c>
    </row>
    <row r="771" spans="1:31" s="90" customFormat="1" ht="11.25">
      <c r="A771" s="131" t="s">
        <v>606</v>
      </c>
      <c r="B771" s="131" t="s">
        <v>1677</v>
      </c>
      <c r="C771" s="131" t="s">
        <v>2873</v>
      </c>
      <c r="D771" s="131" t="s">
        <v>3456</v>
      </c>
      <c r="E771" s="132">
        <v>2</v>
      </c>
      <c r="F771" s="132">
        <v>0</v>
      </c>
      <c r="G771" s="132">
        <f t="shared" si="236"/>
        <v>0</v>
      </c>
      <c r="H771" s="132">
        <f t="shared" si="237"/>
        <v>0</v>
      </c>
      <c r="I771" s="132">
        <f t="shared" si="238"/>
        <v>0</v>
      </c>
      <c r="J771" s="132">
        <v>0.00021</v>
      </c>
      <c r="K771" s="132">
        <f t="shared" si="239"/>
        <v>0.00042</v>
      </c>
      <c r="M771" s="133" t="s">
        <v>1101</v>
      </c>
      <c r="N771" s="132">
        <f t="shared" si="240"/>
        <v>0</v>
      </c>
      <c r="Y771" s="132">
        <f t="shared" si="241"/>
        <v>0</v>
      </c>
      <c r="Z771" s="132">
        <f t="shared" si="242"/>
        <v>0</v>
      </c>
      <c r="AA771" s="132">
        <f t="shared" si="243"/>
        <v>0</v>
      </c>
      <c r="AC771" s="125">
        <v>20</v>
      </c>
      <c r="AD771" s="125">
        <f t="shared" si="244"/>
        <v>0</v>
      </c>
      <c r="AE771" s="125">
        <f t="shared" si="245"/>
        <v>0</v>
      </c>
    </row>
    <row r="772" spans="1:31" s="90" customFormat="1" ht="11.25">
      <c r="A772" s="131" t="s">
        <v>607</v>
      </c>
      <c r="B772" s="131" t="s">
        <v>1678</v>
      </c>
      <c r="C772" s="131" t="s">
        <v>2874</v>
      </c>
      <c r="D772" s="131" t="s">
        <v>3456</v>
      </c>
      <c r="E772" s="132">
        <v>7</v>
      </c>
      <c r="F772" s="132">
        <v>0</v>
      </c>
      <c r="G772" s="132">
        <f t="shared" si="236"/>
        <v>0</v>
      </c>
      <c r="H772" s="132">
        <f t="shared" si="237"/>
        <v>0</v>
      </c>
      <c r="I772" s="132">
        <f t="shared" si="238"/>
        <v>0</v>
      </c>
      <c r="J772" s="132">
        <v>0.00029</v>
      </c>
      <c r="K772" s="132">
        <f t="shared" si="239"/>
        <v>0.00203</v>
      </c>
      <c r="M772" s="133" t="s">
        <v>1101</v>
      </c>
      <c r="N772" s="132">
        <f t="shared" si="240"/>
        <v>0</v>
      </c>
      <c r="Y772" s="132">
        <f t="shared" si="241"/>
        <v>0</v>
      </c>
      <c r="Z772" s="132">
        <f t="shared" si="242"/>
        <v>0</v>
      </c>
      <c r="AA772" s="132">
        <f t="shared" si="243"/>
        <v>0</v>
      </c>
      <c r="AC772" s="125">
        <v>20</v>
      </c>
      <c r="AD772" s="125">
        <f t="shared" si="244"/>
        <v>0</v>
      </c>
      <c r="AE772" s="125">
        <f t="shared" si="245"/>
        <v>0</v>
      </c>
    </row>
    <row r="773" spans="1:31" s="90" customFormat="1" ht="11.25">
      <c r="A773" s="131" t="s">
        <v>608</v>
      </c>
      <c r="B773" s="131" t="s">
        <v>1679</v>
      </c>
      <c r="C773" s="131" t="s">
        <v>2875</v>
      </c>
      <c r="D773" s="131" t="s">
        <v>3456</v>
      </c>
      <c r="E773" s="132">
        <v>1</v>
      </c>
      <c r="F773" s="132">
        <v>0</v>
      </c>
      <c r="G773" s="132">
        <f t="shared" si="236"/>
        <v>0</v>
      </c>
      <c r="H773" s="132">
        <f t="shared" si="237"/>
        <v>0</v>
      </c>
      <c r="I773" s="132">
        <f t="shared" si="238"/>
        <v>0</v>
      </c>
      <c r="J773" s="132">
        <v>0.00031</v>
      </c>
      <c r="K773" s="132">
        <f t="shared" si="239"/>
        <v>0.00031</v>
      </c>
      <c r="M773" s="133" t="s">
        <v>1101</v>
      </c>
      <c r="N773" s="132">
        <f t="shared" si="240"/>
        <v>0</v>
      </c>
      <c r="Y773" s="132">
        <f t="shared" si="241"/>
        <v>0</v>
      </c>
      <c r="Z773" s="132">
        <f t="shared" si="242"/>
        <v>0</v>
      </c>
      <c r="AA773" s="132">
        <f t="shared" si="243"/>
        <v>0</v>
      </c>
      <c r="AC773" s="125">
        <v>20</v>
      </c>
      <c r="AD773" s="125">
        <f t="shared" si="244"/>
        <v>0</v>
      </c>
      <c r="AE773" s="125">
        <f t="shared" si="245"/>
        <v>0</v>
      </c>
    </row>
    <row r="774" spans="1:31" s="90" customFormat="1" ht="11.25">
      <c r="A774" s="131" t="s">
        <v>609</v>
      </c>
      <c r="B774" s="131" t="s">
        <v>1680</v>
      </c>
      <c r="C774" s="131" t="s">
        <v>2876</v>
      </c>
      <c r="D774" s="131" t="s">
        <v>3456</v>
      </c>
      <c r="E774" s="132">
        <v>17</v>
      </c>
      <c r="F774" s="132">
        <v>0</v>
      </c>
      <c r="G774" s="132">
        <f t="shared" si="236"/>
        <v>0</v>
      </c>
      <c r="H774" s="132">
        <f t="shared" si="237"/>
        <v>0</v>
      </c>
      <c r="I774" s="132">
        <f t="shared" si="238"/>
        <v>0</v>
      </c>
      <c r="J774" s="132">
        <v>0.00037</v>
      </c>
      <c r="K774" s="132">
        <f t="shared" si="239"/>
        <v>0.00629</v>
      </c>
      <c r="M774" s="133" t="s">
        <v>1101</v>
      </c>
      <c r="N774" s="132">
        <f t="shared" si="240"/>
        <v>0</v>
      </c>
      <c r="Y774" s="132">
        <f t="shared" si="241"/>
        <v>0</v>
      </c>
      <c r="Z774" s="132">
        <f t="shared" si="242"/>
        <v>0</v>
      </c>
      <c r="AA774" s="132">
        <f t="shared" si="243"/>
        <v>0</v>
      </c>
      <c r="AC774" s="125">
        <v>20</v>
      </c>
      <c r="AD774" s="125">
        <f t="shared" si="244"/>
        <v>0</v>
      </c>
      <c r="AE774" s="125">
        <f t="shared" si="245"/>
        <v>0</v>
      </c>
    </row>
    <row r="775" spans="1:31" s="90" customFormat="1" ht="11.25">
      <c r="A775" s="131" t="s">
        <v>610</v>
      </c>
      <c r="B775" s="131" t="s">
        <v>1681</v>
      </c>
      <c r="C775" s="131" t="s">
        <v>2877</v>
      </c>
      <c r="D775" s="131" t="s">
        <v>3456</v>
      </c>
      <c r="E775" s="132">
        <v>2</v>
      </c>
      <c r="F775" s="132">
        <v>0</v>
      </c>
      <c r="G775" s="132">
        <f t="shared" si="236"/>
        <v>0</v>
      </c>
      <c r="H775" s="132">
        <f t="shared" si="237"/>
        <v>0</v>
      </c>
      <c r="I775" s="132">
        <f t="shared" si="238"/>
        <v>0</v>
      </c>
      <c r="J775" s="132">
        <v>0.00032</v>
      </c>
      <c r="K775" s="132">
        <f t="shared" si="239"/>
        <v>0.00064</v>
      </c>
      <c r="M775" s="133" t="s">
        <v>1101</v>
      </c>
      <c r="N775" s="132">
        <f t="shared" si="240"/>
        <v>0</v>
      </c>
      <c r="Y775" s="132">
        <f t="shared" si="241"/>
        <v>0</v>
      </c>
      <c r="Z775" s="132">
        <f t="shared" si="242"/>
        <v>0</v>
      </c>
      <c r="AA775" s="132">
        <f t="shared" si="243"/>
        <v>0</v>
      </c>
      <c r="AC775" s="125">
        <v>20</v>
      </c>
      <c r="AD775" s="125">
        <f t="shared" si="244"/>
        <v>0</v>
      </c>
      <c r="AE775" s="125">
        <f t="shared" si="245"/>
        <v>0</v>
      </c>
    </row>
    <row r="776" spans="1:31" s="90" customFormat="1" ht="11.25">
      <c r="A776" s="131" t="s">
        <v>611</v>
      </c>
      <c r="B776" s="131" t="s">
        <v>1682</v>
      </c>
      <c r="C776" s="131" t="s">
        <v>2878</v>
      </c>
      <c r="D776" s="131" t="s">
        <v>3456</v>
      </c>
      <c r="E776" s="132">
        <v>15</v>
      </c>
      <c r="F776" s="132">
        <v>0</v>
      </c>
      <c r="G776" s="132">
        <f t="shared" si="236"/>
        <v>0</v>
      </c>
      <c r="H776" s="132">
        <f t="shared" si="237"/>
        <v>0</v>
      </c>
      <c r="I776" s="132">
        <f t="shared" si="238"/>
        <v>0</v>
      </c>
      <c r="J776" s="132">
        <v>0.00038</v>
      </c>
      <c r="K776" s="132">
        <f t="shared" si="239"/>
        <v>0.0057</v>
      </c>
      <c r="M776" s="133" t="s">
        <v>1101</v>
      </c>
      <c r="N776" s="132">
        <f t="shared" si="240"/>
        <v>0</v>
      </c>
      <c r="Y776" s="132">
        <f t="shared" si="241"/>
        <v>0</v>
      </c>
      <c r="Z776" s="132">
        <f t="shared" si="242"/>
        <v>0</v>
      </c>
      <c r="AA776" s="132">
        <f t="shared" si="243"/>
        <v>0</v>
      </c>
      <c r="AC776" s="125">
        <v>20</v>
      </c>
      <c r="AD776" s="125">
        <f t="shared" si="244"/>
        <v>0</v>
      </c>
      <c r="AE776" s="125">
        <f t="shared" si="245"/>
        <v>0</v>
      </c>
    </row>
    <row r="777" spans="1:31" s="90" customFormat="1" ht="11.25">
      <c r="A777" s="131" t="s">
        <v>612</v>
      </c>
      <c r="B777" s="131" t="s">
        <v>1683</v>
      </c>
      <c r="C777" s="131" t="s">
        <v>2879</v>
      </c>
      <c r="D777" s="131" t="s">
        <v>3456</v>
      </c>
      <c r="E777" s="132">
        <v>16</v>
      </c>
      <c r="F777" s="132">
        <v>0</v>
      </c>
      <c r="G777" s="132">
        <f t="shared" si="236"/>
        <v>0</v>
      </c>
      <c r="H777" s="132">
        <f t="shared" si="237"/>
        <v>0</v>
      </c>
      <c r="I777" s="132">
        <f t="shared" si="238"/>
        <v>0</v>
      </c>
      <c r="J777" s="132">
        <v>0.00048</v>
      </c>
      <c r="K777" s="132">
        <f t="shared" si="239"/>
        <v>0.00768</v>
      </c>
      <c r="M777" s="133" t="s">
        <v>1101</v>
      </c>
      <c r="N777" s="132">
        <f t="shared" si="240"/>
        <v>0</v>
      </c>
      <c r="Y777" s="132">
        <f t="shared" si="241"/>
        <v>0</v>
      </c>
      <c r="Z777" s="132">
        <f t="shared" si="242"/>
        <v>0</v>
      </c>
      <c r="AA777" s="132">
        <f t="shared" si="243"/>
        <v>0</v>
      </c>
      <c r="AC777" s="125">
        <v>20</v>
      </c>
      <c r="AD777" s="125">
        <f t="shared" si="244"/>
        <v>0</v>
      </c>
      <c r="AE777" s="125">
        <f t="shared" si="245"/>
        <v>0</v>
      </c>
    </row>
    <row r="778" spans="1:31" s="90" customFormat="1" ht="11.25">
      <c r="A778" s="131" t="s">
        <v>613</v>
      </c>
      <c r="B778" s="131" t="s">
        <v>1684</v>
      </c>
      <c r="C778" s="131" t="s">
        <v>2880</v>
      </c>
      <c r="D778" s="131" t="s">
        <v>3456</v>
      </c>
      <c r="E778" s="132">
        <v>6</v>
      </c>
      <c r="F778" s="132">
        <v>0</v>
      </c>
      <c r="G778" s="132">
        <f t="shared" si="236"/>
        <v>0</v>
      </c>
      <c r="H778" s="132">
        <f t="shared" si="237"/>
        <v>0</v>
      </c>
      <c r="I778" s="132">
        <f t="shared" si="238"/>
        <v>0</v>
      </c>
      <c r="J778" s="132">
        <v>0.00066</v>
      </c>
      <c r="K778" s="132">
        <f t="shared" si="239"/>
        <v>0.00396</v>
      </c>
      <c r="M778" s="133" t="s">
        <v>1101</v>
      </c>
      <c r="N778" s="132">
        <f t="shared" si="240"/>
        <v>0</v>
      </c>
      <c r="Y778" s="132">
        <f t="shared" si="241"/>
        <v>0</v>
      </c>
      <c r="Z778" s="132">
        <f t="shared" si="242"/>
        <v>0</v>
      </c>
      <c r="AA778" s="132">
        <f t="shared" si="243"/>
        <v>0</v>
      </c>
      <c r="AC778" s="125">
        <v>20</v>
      </c>
      <c r="AD778" s="125">
        <f t="shared" si="244"/>
        <v>0</v>
      </c>
      <c r="AE778" s="125">
        <f t="shared" si="245"/>
        <v>0</v>
      </c>
    </row>
    <row r="779" spans="1:31" s="90" customFormat="1" ht="11.25">
      <c r="A779" s="131" t="s">
        <v>614</v>
      </c>
      <c r="B779" s="131" t="s">
        <v>1685</v>
      </c>
      <c r="C779" s="131" t="s">
        <v>2881</v>
      </c>
      <c r="D779" s="131" t="s">
        <v>3456</v>
      </c>
      <c r="E779" s="132">
        <v>9</v>
      </c>
      <c r="F779" s="132">
        <v>0</v>
      </c>
      <c r="G779" s="132">
        <f t="shared" si="236"/>
        <v>0</v>
      </c>
      <c r="H779" s="132">
        <f t="shared" si="237"/>
        <v>0</v>
      </c>
      <c r="I779" s="132">
        <f t="shared" si="238"/>
        <v>0</v>
      </c>
      <c r="J779" s="132">
        <v>0.00092</v>
      </c>
      <c r="K779" s="132">
        <f t="shared" si="239"/>
        <v>0.008280000000000001</v>
      </c>
      <c r="M779" s="133" t="s">
        <v>1101</v>
      </c>
      <c r="N779" s="132">
        <f t="shared" si="240"/>
        <v>0</v>
      </c>
      <c r="Y779" s="132">
        <f t="shared" si="241"/>
        <v>0</v>
      </c>
      <c r="Z779" s="132">
        <f t="shared" si="242"/>
        <v>0</v>
      </c>
      <c r="AA779" s="132">
        <f t="shared" si="243"/>
        <v>0</v>
      </c>
      <c r="AC779" s="125">
        <v>20</v>
      </c>
      <c r="AD779" s="125">
        <f t="shared" si="244"/>
        <v>0</v>
      </c>
      <c r="AE779" s="125">
        <f t="shared" si="245"/>
        <v>0</v>
      </c>
    </row>
    <row r="780" spans="1:31" s="90" customFormat="1" ht="11.25">
      <c r="A780" s="131" t="s">
        <v>615</v>
      </c>
      <c r="B780" s="131" t="s">
        <v>1686</v>
      </c>
      <c r="C780" s="131" t="s">
        <v>2882</v>
      </c>
      <c r="D780" s="131" t="s">
        <v>3456</v>
      </c>
      <c r="E780" s="132">
        <v>2</v>
      </c>
      <c r="F780" s="132">
        <v>0</v>
      </c>
      <c r="G780" s="132">
        <f t="shared" si="236"/>
        <v>0</v>
      </c>
      <c r="H780" s="132">
        <f t="shared" si="237"/>
        <v>0</v>
      </c>
      <c r="I780" s="132">
        <f t="shared" si="238"/>
        <v>0</v>
      </c>
      <c r="J780" s="132">
        <v>0.00097</v>
      </c>
      <c r="K780" s="132">
        <f t="shared" si="239"/>
        <v>0.00194</v>
      </c>
      <c r="M780" s="133" t="s">
        <v>1101</v>
      </c>
      <c r="N780" s="132">
        <f t="shared" si="240"/>
        <v>0</v>
      </c>
      <c r="Y780" s="132">
        <f t="shared" si="241"/>
        <v>0</v>
      </c>
      <c r="Z780" s="132">
        <f t="shared" si="242"/>
        <v>0</v>
      </c>
      <c r="AA780" s="132">
        <f t="shared" si="243"/>
        <v>0</v>
      </c>
      <c r="AC780" s="125">
        <v>20</v>
      </c>
      <c r="AD780" s="125">
        <f t="shared" si="244"/>
        <v>0</v>
      </c>
      <c r="AE780" s="125">
        <f t="shared" si="245"/>
        <v>0</v>
      </c>
    </row>
    <row r="781" spans="1:31" s="90" customFormat="1" ht="11.25">
      <c r="A781" s="131" t="s">
        <v>616</v>
      </c>
      <c r="B781" s="131" t="s">
        <v>1687</v>
      </c>
      <c r="C781" s="131" t="s">
        <v>2883</v>
      </c>
      <c r="D781" s="131" t="s">
        <v>3456</v>
      </c>
      <c r="E781" s="132">
        <v>3</v>
      </c>
      <c r="F781" s="132">
        <v>0</v>
      </c>
      <c r="G781" s="132">
        <f t="shared" si="236"/>
        <v>0</v>
      </c>
      <c r="H781" s="132">
        <f t="shared" si="237"/>
        <v>0</v>
      </c>
      <c r="I781" s="132">
        <f t="shared" si="238"/>
        <v>0</v>
      </c>
      <c r="J781" s="132">
        <v>0.00127</v>
      </c>
      <c r="K781" s="132">
        <f t="shared" si="239"/>
        <v>0.00381</v>
      </c>
      <c r="M781" s="133" t="s">
        <v>1101</v>
      </c>
      <c r="N781" s="132">
        <f t="shared" si="240"/>
        <v>0</v>
      </c>
      <c r="Y781" s="132">
        <f t="shared" si="241"/>
        <v>0</v>
      </c>
      <c r="Z781" s="132">
        <f t="shared" si="242"/>
        <v>0</v>
      </c>
      <c r="AA781" s="132">
        <f t="shared" si="243"/>
        <v>0</v>
      </c>
      <c r="AC781" s="125">
        <v>20</v>
      </c>
      <c r="AD781" s="125">
        <f t="shared" si="244"/>
        <v>0</v>
      </c>
      <c r="AE781" s="125">
        <f t="shared" si="245"/>
        <v>0</v>
      </c>
    </row>
    <row r="782" spans="1:31" s="90" customFormat="1" ht="11.25">
      <c r="A782" s="131" t="s">
        <v>617</v>
      </c>
      <c r="B782" s="131" t="s">
        <v>1688</v>
      </c>
      <c r="C782" s="131" t="s">
        <v>2884</v>
      </c>
      <c r="D782" s="131" t="s">
        <v>3456</v>
      </c>
      <c r="E782" s="132">
        <v>18</v>
      </c>
      <c r="F782" s="132">
        <v>0</v>
      </c>
      <c r="G782" s="132">
        <f t="shared" si="236"/>
        <v>0</v>
      </c>
      <c r="H782" s="132">
        <f t="shared" si="237"/>
        <v>0</v>
      </c>
      <c r="I782" s="132">
        <f t="shared" si="238"/>
        <v>0</v>
      </c>
      <c r="J782" s="132">
        <v>0.00028</v>
      </c>
      <c r="K782" s="132">
        <f t="shared" si="239"/>
        <v>0.005039999999999999</v>
      </c>
      <c r="M782" s="133" t="s">
        <v>1101</v>
      </c>
      <c r="N782" s="132">
        <f t="shared" si="240"/>
        <v>0</v>
      </c>
      <c r="Y782" s="132">
        <f t="shared" si="241"/>
        <v>0</v>
      </c>
      <c r="Z782" s="132">
        <f t="shared" si="242"/>
        <v>0</v>
      </c>
      <c r="AA782" s="132">
        <f t="shared" si="243"/>
        <v>0</v>
      </c>
      <c r="AC782" s="125">
        <v>20</v>
      </c>
      <c r="AD782" s="125">
        <f t="shared" si="244"/>
        <v>0</v>
      </c>
      <c r="AE782" s="125">
        <f t="shared" si="245"/>
        <v>0</v>
      </c>
    </row>
    <row r="783" spans="1:31" s="90" customFormat="1" ht="11.25">
      <c r="A783" s="131" t="s">
        <v>618</v>
      </c>
      <c r="B783" s="131" t="s">
        <v>1689</v>
      </c>
      <c r="C783" s="131" t="s">
        <v>2885</v>
      </c>
      <c r="D783" s="131" t="s">
        <v>3456</v>
      </c>
      <c r="E783" s="132">
        <v>1</v>
      </c>
      <c r="F783" s="132">
        <v>0</v>
      </c>
      <c r="G783" s="132">
        <f t="shared" si="236"/>
        <v>0</v>
      </c>
      <c r="H783" s="132">
        <f t="shared" si="237"/>
        <v>0</v>
      </c>
      <c r="I783" s="132">
        <f t="shared" si="238"/>
        <v>0</v>
      </c>
      <c r="J783" s="132">
        <v>0.00042</v>
      </c>
      <c r="K783" s="132">
        <f t="shared" si="239"/>
        <v>0.00042</v>
      </c>
      <c r="M783" s="133" t="s">
        <v>1101</v>
      </c>
      <c r="N783" s="132">
        <f t="shared" si="240"/>
        <v>0</v>
      </c>
      <c r="Y783" s="132">
        <f t="shared" si="241"/>
        <v>0</v>
      </c>
      <c r="Z783" s="132">
        <f t="shared" si="242"/>
        <v>0</v>
      </c>
      <c r="AA783" s="132">
        <f t="shared" si="243"/>
        <v>0</v>
      </c>
      <c r="AC783" s="125">
        <v>20</v>
      </c>
      <c r="AD783" s="125">
        <f t="shared" si="244"/>
        <v>0</v>
      </c>
      <c r="AE783" s="125">
        <f t="shared" si="245"/>
        <v>0</v>
      </c>
    </row>
    <row r="784" spans="1:31" s="90" customFormat="1" ht="11.25">
      <c r="A784" s="131" t="s">
        <v>619</v>
      </c>
      <c r="B784" s="131" t="s">
        <v>1690</v>
      </c>
      <c r="C784" s="131" t="s">
        <v>2886</v>
      </c>
      <c r="D784" s="131" t="s">
        <v>3456</v>
      </c>
      <c r="E784" s="132">
        <v>6</v>
      </c>
      <c r="F784" s="132">
        <v>0</v>
      </c>
      <c r="G784" s="132">
        <f t="shared" si="236"/>
        <v>0</v>
      </c>
      <c r="H784" s="132">
        <f t="shared" si="237"/>
        <v>0</v>
      </c>
      <c r="I784" s="132">
        <f t="shared" si="238"/>
        <v>0</v>
      </c>
      <c r="J784" s="132">
        <v>0.00043</v>
      </c>
      <c r="K784" s="132">
        <f t="shared" si="239"/>
        <v>0.00258</v>
      </c>
      <c r="M784" s="133" t="s">
        <v>1101</v>
      </c>
      <c r="N784" s="132">
        <f t="shared" si="240"/>
        <v>0</v>
      </c>
      <c r="Y784" s="132">
        <f t="shared" si="241"/>
        <v>0</v>
      </c>
      <c r="Z784" s="132">
        <f t="shared" si="242"/>
        <v>0</v>
      </c>
      <c r="AA784" s="132">
        <f t="shared" si="243"/>
        <v>0</v>
      </c>
      <c r="AC784" s="125">
        <v>20</v>
      </c>
      <c r="AD784" s="125">
        <f t="shared" si="244"/>
        <v>0</v>
      </c>
      <c r="AE784" s="125">
        <f t="shared" si="245"/>
        <v>0</v>
      </c>
    </row>
    <row r="785" spans="1:31" s="90" customFormat="1" ht="11.25">
      <c r="A785" s="131" t="s">
        <v>620</v>
      </c>
      <c r="B785" s="131" t="s">
        <v>1691</v>
      </c>
      <c r="C785" s="131" t="s">
        <v>2887</v>
      </c>
      <c r="D785" s="131" t="s">
        <v>3456</v>
      </c>
      <c r="E785" s="132">
        <v>1</v>
      </c>
      <c r="F785" s="132">
        <v>0</v>
      </c>
      <c r="G785" s="132">
        <f t="shared" si="236"/>
        <v>0</v>
      </c>
      <c r="H785" s="132">
        <f t="shared" si="237"/>
        <v>0</v>
      </c>
      <c r="I785" s="132">
        <f t="shared" si="238"/>
        <v>0</v>
      </c>
      <c r="J785" s="132">
        <v>0.00079</v>
      </c>
      <c r="K785" s="132">
        <f t="shared" si="239"/>
        <v>0.00079</v>
      </c>
      <c r="M785" s="133" t="s">
        <v>1101</v>
      </c>
      <c r="N785" s="132">
        <f t="shared" si="240"/>
        <v>0</v>
      </c>
      <c r="Y785" s="132">
        <f t="shared" si="241"/>
        <v>0</v>
      </c>
      <c r="Z785" s="132">
        <f t="shared" si="242"/>
        <v>0</v>
      </c>
      <c r="AA785" s="132">
        <f t="shared" si="243"/>
        <v>0</v>
      </c>
      <c r="AC785" s="125">
        <v>20</v>
      </c>
      <c r="AD785" s="125">
        <f t="shared" si="244"/>
        <v>0</v>
      </c>
      <c r="AE785" s="125">
        <f t="shared" si="245"/>
        <v>0</v>
      </c>
    </row>
    <row r="786" spans="1:31" s="90" customFormat="1" ht="11.25">
      <c r="A786" s="131" t="s">
        <v>621</v>
      </c>
      <c r="B786" s="131" t="s">
        <v>1692</v>
      </c>
      <c r="C786" s="131" t="s">
        <v>2888</v>
      </c>
      <c r="D786" s="131" t="s">
        <v>3456</v>
      </c>
      <c r="E786" s="132">
        <v>1</v>
      </c>
      <c r="F786" s="132">
        <v>0</v>
      </c>
      <c r="G786" s="132">
        <f t="shared" si="236"/>
        <v>0</v>
      </c>
      <c r="H786" s="132">
        <f t="shared" si="237"/>
        <v>0</v>
      </c>
      <c r="I786" s="132">
        <f t="shared" si="238"/>
        <v>0</v>
      </c>
      <c r="J786" s="132">
        <v>0.00067</v>
      </c>
      <c r="K786" s="132">
        <f t="shared" si="239"/>
        <v>0.00067</v>
      </c>
      <c r="M786" s="133" t="s">
        <v>1101</v>
      </c>
      <c r="N786" s="132">
        <f t="shared" si="240"/>
        <v>0</v>
      </c>
      <c r="Y786" s="132">
        <f t="shared" si="241"/>
        <v>0</v>
      </c>
      <c r="Z786" s="132">
        <f t="shared" si="242"/>
        <v>0</v>
      </c>
      <c r="AA786" s="132">
        <f t="shared" si="243"/>
        <v>0</v>
      </c>
      <c r="AC786" s="125">
        <v>20</v>
      </c>
      <c r="AD786" s="125">
        <f t="shared" si="244"/>
        <v>0</v>
      </c>
      <c r="AE786" s="125">
        <f t="shared" si="245"/>
        <v>0</v>
      </c>
    </row>
    <row r="787" spans="1:31" s="90" customFormat="1" ht="11.25">
      <c r="A787" s="131" t="s">
        <v>622</v>
      </c>
      <c r="B787" s="131" t="s">
        <v>1693</v>
      </c>
      <c r="C787" s="131" t="s">
        <v>2889</v>
      </c>
      <c r="D787" s="131" t="s">
        <v>3456</v>
      </c>
      <c r="E787" s="132">
        <v>1</v>
      </c>
      <c r="F787" s="132">
        <v>0</v>
      </c>
      <c r="G787" s="132">
        <f t="shared" si="236"/>
        <v>0</v>
      </c>
      <c r="H787" s="132">
        <f t="shared" si="237"/>
        <v>0</v>
      </c>
      <c r="I787" s="132">
        <f t="shared" si="238"/>
        <v>0</v>
      </c>
      <c r="J787" s="132">
        <v>0.00076</v>
      </c>
      <c r="K787" s="132">
        <f t="shared" si="239"/>
        <v>0.00076</v>
      </c>
      <c r="M787" s="133" t="s">
        <v>1101</v>
      </c>
      <c r="N787" s="132">
        <f t="shared" si="240"/>
        <v>0</v>
      </c>
      <c r="Y787" s="132">
        <f t="shared" si="241"/>
        <v>0</v>
      </c>
      <c r="Z787" s="132">
        <f t="shared" si="242"/>
        <v>0</v>
      </c>
      <c r="AA787" s="132">
        <f t="shared" si="243"/>
        <v>0</v>
      </c>
      <c r="AC787" s="125">
        <v>20</v>
      </c>
      <c r="AD787" s="125">
        <f t="shared" si="244"/>
        <v>0</v>
      </c>
      <c r="AE787" s="125">
        <f t="shared" si="245"/>
        <v>0</v>
      </c>
    </row>
    <row r="788" spans="1:31" s="90" customFormat="1" ht="11.25">
      <c r="A788" s="131" t="s">
        <v>623</v>
      </c>
      <c r="B788" s="131" t="s">
        <v>1694</v>
      </c>
      <c r="C788" s="131" t="s">
        <v>2890</v>
      </c>
      <c r="D788" s="131" t="s">
        <v>3456</v>
      </c>
      <c r="E788" s="132">
        <v>3</v>
      </c>
      <c r="F788" s="132">
        <v>0</v>
      </c>
      <c r="G788" s="132">
        <f t="shared" si="236"/>
        <v>0</v>
      </c>
      <c r="H788" s="132">
        <f t="shared" si="237"/>
        <v>0</v>
      </c>
      <c r="I788" s="132">
        <f t="shared" si="238"/>
        <v>0</v>
      </c>
      <c r="J788" s="132">
        <v>0.00105</v>
      </c>
      <c r="K788" s="132">
        <f t="shared" si="239"/>
        <v>0.00315</v>
      </c>
      <c r="M788" s="133" t="s">
        <v>1101</v>
      </c>
      <c r="N788" s="132">
        <f t="shared" si="240"/>
        <v>0</v>
      </c>
      <c r="Y788" s="132">
        <f t="shared" si="241"/>
        <v>0</v>
      </c>
      <c r="Z788" s="132">
        <f t="shared" si="242"/>
        <v>0</v>
      </c>
      <c r="AA788" s="132">
        <f t="shared" si="243"/>
        <v>0</v>
      </c>
      <c r="AC788" s="125">
        <v>20</v>
      </c>
      <c r="AD788" s="125">
        <f t="shared" si="244"/>
        <v>0</v>
      </c>
      <c r="AE788" s="125">
        <f t="shared" si="245"/>
        <v>0</v>
      </c>
    </row>
    <row r="789" spans="1:31" s="90" customFormat="1" ht="11.25">
      <c r="A789" s="131" t="s">
        <v>624</v>
      </c>
      <c r="B789" s="131" t="s">
        <v>1695</v>
      </c>
      <c r="C789" s="131" t="s">
        <v>2891</v>
      </c>
      <c r="D789" s="131" t="s">
        <v>3456</v>
      </c>
      <c r="E789" s="132">
        <v>4</v>
      </c>
      <c r="F789" s="132">
        <v>0</v>
      </c>
      <c r="G789" s="132">
        <f t="shared" si="236"/>
        <v>0</v>
      </c>
      <c r="H789" s="132">
        <f t="shared" si="237"/>
        <v>0</v>
      </c>
      <c r="I789" s="132">
        <f t="shared" si="238"/>
        <v>0</v>
      </c>
      <c r="J789" s="132">
        <v>0.00115</v>
      </c>
      <c r="K789" s="132">
        <f t="shared" si="239"/>
        <v>0.0046</v>
      </c>
      <c r="M789" s="133" t="s">
        <v>1101</v>
      </c>
      <c r="N789" s="132">
        <f t="shared" si="240"/>
        <v>0</v>
      </c>
      <c r="Y789" s="132">
        <f t="shared" si="241"/>
        <v>0</v>
      </c>
      <c r="Z789" s="132">
        <f t="shared" si="242"/>
        <v>0</v>
      </c>
      <c r="AA789" s="132">
        <f t="shared" si="243"/>
        <v>0</v>
      </c>
      <c r="AC789" s="125">
        <v>20</v>
      </c>
      <c r="AD789" s="125">
        <f t="shared" si="244"/>
        <v>0</v>
      </c>
      <c r="AE789" s="125">
        <f t="shared" si="245"/>
        <v>0</v>
      </c>
    </row>
    <row r="790" spans="1:31" s="90" customFormat="1" ht="11.25">
      <c r="A790" s="131" t="s">
        <v>625</v>
      </c>
      <c r="B790" s="131" t="s">
        <v>1696</v>
      </c>
      <c r="C790" s="131" t="s">
        <v>2892</v>
      </c>
      <c r="D790" s="131" t="s">
        <v>3456</v>
      </c>
      <c r="E790" s="132">
        <v>1</v>
      </c>
      <c r="F790" s="132">
        <v>0</v>
      </c>
      <c r="G790" s="132">
        <f t="shared" si="236"/>
        <v>0</v>
      </c>
      <c r="H790" s="132">
        <f t="shared" si="237"/>
        <v>0</v>
      </c>
      <c r="I790" s="132">
        <f t="shared" si="238"/>
        <v>0</v>
      </c>
      <c r="J790" s="132">
        <v>0.0016</v>
      </c>
      <c r="K790" s="132">
        <f t="shared" si="239"/>
        <v>0.0016</v>
      </c>
      <c r="M790" s="133" t="s">
        <v>1101</v>
      </c>
      <c r="N790" s="132">
        <f t="shared" si="240"/>
        <v>0</v>
      </c>
      <c r="Y790" s="132">
        <f t="shared" si="241"/>
        <v>0</v>
      </c>
      <c r="Z790" s="132">
        <f t="shared" si="242"/>
        <v>0</v>
      </c>
      <c r="AA790" s="132">
        <f t="shared" si="243"/>
        <v>0</v>
      </c>
      <c r="AC790" s="125">
        <v>20</v>
      </c>
      <c r="AD790" s="125">
        <f t="shared" si="244"/>
        <v>0</v>
      </c>
      <c r="AE790" s="125">
        <f t="shared" si="245"/>
        <v>0</v>
      </c>
    </row>
    <row r="791" spans="1:31" s="90" customFormat="1" ht="11.25">
      <c r="A791" s="131" t="s">
        <v>626</v>
      </c>
      <c r="B791" s="131" t="s">
        <v>1697</v>
      </c>
      <c r="C791" s="131" t="s">
        <v>2893</v>
      </c>
      <c r="D791" s="131" t="s">
        <v>3456</v>
      </c>
      <c r="E791" s="132">
        <v>3</v>
      </c>
      <c r="F791" s="132">
        <v>0</v>
      </c>
      <c r="G791" s="132">
        <f t="shared" si="236"/>
        <v>0</v>
      </c>
      <c r="H791" s="132">
        <f t="shared" si="237"/>
        <v>0</v>
      </c>
      <c r="I791" s="132">
        <f t="shared" si="238"/>
        <v>0</v>
      </c>
      <c r="J791" s="132">
        <v>0.00172</v>
      </c>
      <c r="K791" s="132">
        <f t="shared" si="239"/>
        <v>0.00516</v>
      </c>
      <c r="M791" s="133" t="s">
        <v>1101</v>
      </c>
      <c r="N791" s="132">
        <f t="shared" si="240"/>
        <v>0</v>
      </c>
      <c r="Y791" s="132">
        <f t="shared" si="241"/>
        <v>0</v>
      </c>
      <c r="Z791" s="132">
        <f t="shared" si="242"/>
        <v>0</v>
      </c>
      <c r="AA791" s="132">
        <f t="shared" si="243"/>
        <v>0</v>
      </c>
      <c r="AC791" s="125">
        <v>20</v>
      </c>
      <c r="AD791" s="125">
        <f t="shared" si="244"/>
        <v>0</v>
      </c>
      <c r="AE791" s="125">
        <f t="shared" si="245"/>
        <v>0</v>
      </c>
    </row>
    <row r="792" spans="1:31" s="90" customFormat="1" ht="11.25">
      <c r="A792" s="131" t="s">
        <v>627</v>
      </c>
      <c r="B792" s="131" t="s">
        <v>1697</v>
      </c>
      <c r="C792" s="131" t="s">
        <v>2893</v>
      </c>
      <c r="D792" s="131" t="s">
        <v>3456</v>
      </c>
      <c r="E792" s="132">
        <v>1</v>
      </c>
      <c r="F792" s="132">
        <v>0</v>
      </c>
      <c r="G792" s="132">
        <f t="shared" si="236"/>
        <v>0</v>
      </c>
      <c r="H792" s="132">
        <f t="shared" si="237"/>
        <v>0</v>
      </c>
      <c r="I792" s="132">
        <f t="shared" si="238"/>
        <v>0</v>
      </c>
      <c r="J792" s="132">
        <v>0.00172</v>
      </c>
      <c r="K792" s="132">
        <f t="shared" si="239"/>
        <v>0.00172</v>
      </c>
      <c r="M792" s="133" t="s">
        <v>1101</v>
      </c>
      <c r="N792" s="132">
        <f t="shared" si="240"/>
        <v>0</v>
      </c>
      <c r="Y792" s="132">
        <f t="shared" si="241"/>
        <v>0</v>
      </c>
      <c r="Z792" s="132">
        <f t="shared" si="242"/>
        <v>0</v>
      </c>
      <c r="AA792" s="132">
        <f t="shared" si="243"/>
        <v>0</v>
      </c>
      <c r="AC792" s="125">
        <v>20</v>
      </c>
      <c r="AD792" s="125">
        <f t="shared" si="244"/>
        <v>0</v>
      </c>
      <c r="AE792" s="125">
        <f t="shared" si="245"/>
        <v>0</v>
      </c>
    </row>
    <row r="793" spans="1:31" s="90" customFormat="1" ht="11.25">
      <c r="A793" s="131" t="s">
        <v>628</v>
      </c>
      <c r="B793" s="131" t="s">
        <v>1698</v>
      </c>
      <c r="C793" s="131" t="s">
        <v>2894</v>
      </c>
      <c r="D793" s="131" t="s">
        <v>3456</v>
      </c>
      <c r="E793" s="132">
        <v>11</v>
      </c>
      <c r="F793" s="132">
        <v>0</v>
      </c>
      <c r="G793" s="132">
        <f t="shared" si="236"/>
        <v>0</v>
      </c>
      <c r="H793" s="132">
        <f t="shared" si="237"/>
        <v>0</v>
      </c>
      <c r="I793" s="132">
        <f t="shared" si="238"/>
        <v>0</v>
      </c>
      <c r="J793" s="132">
        <v>0.00207</v>
      </c>
      <c r="K793" s="132">
        <f t="shared" si="239"/>
        <v>0.02277</v>
      </c>
      <c r="M793" s="133" t="s">
        <v>1101</v>
      </c>
      <c r="N793" s="132">
        <f t="shared" si="240"/>
        <v>0</v>
      </c>
      <c r="Y793" s="132">
        <f t="shared" si="241"/>
        <v>0</v>
      </c>
      <c r="Z793" s="132">
        <f t="shared" si="242"/>
        <v>0</v>
      </c>
      <c r="AA793" s="132">
        <f t="shared" si="243"/>
        <v>0</v>
      </c>
      <c r="AC793" s="125">
        <v>20</v>
      </c>
      <c r="AD793" s="125">
        <f t="shared" si="244"/>
        <v>0</v>
      </c>
      <c r="AE793" s="125">
        <f t="shared" si="245"/>
        <v>0</v>
      </c>
    </row>
    <row r="794" spans="1:31" s="90" customFormat="1" ht="11.25">
      <c r="A794" s="131" t="s">
        <v>629</v>
      </c>
      <c r="B794" s="131" t="s">
        <v>1699</v>
      </c>
      <c r="C794" s="131" t="s">
        <v>2895</v>
      </c>
      <c r="D794" s="131" t="s">
        <v>3456</v>
      </c>
      <c r="E794" s="132">
        <v>2</v>
      </c>
      <c r="F794" s="132">
        <v>0</v>
      </c>
      <c r="G794" s="132">
        <f t="shared" si="236"/>
        <v>0</v>
      </c>
      <c r="H794" s="132">
        <f t="shared" si="237"/>
        <v>0</v>
      </c>
      <c r="I794" s="132">
        <f t="shared" si="238"/>
        <v>0</v>
      </c>
      <c r="J794" s="132">
        <v>0.00264</v>
      </c>
      <c r="K794" s="132">
        <f t="shared" si="239"/>
        <v>0.00528</v>
      </c>
      <c r="M794" s="133" t="s">
        <v>1101</v>
      </c>
      <c r="N794" s="132">
        <f t="shared" si="240"/>
        <v>0</v>
      </c>
      <c r="Y794" s="132">
        <f t="shared" si="241"/>
        <v>0</v>
      </c>
      <c r="Z794" s="132">
        <f t="shared" si="242"/>
        <v>0</v>
      </c>
      <c r="AA794" s="132">
        <f t="shared" si="243"/>
        <v>0</v>
      </c>
      <c r="AC794" s="125">
        <v>20</v>
      </c>
      <c r="AD794" s="125">
        <f t="shared" si="244"/>
        <v>0</v>
      </c>
      <c r="AE794" s="125">
        <f t="shared" si="245"/>
        <v>0</v>
      </c>
    </row>
    <row r="795" spans="1:31" s="90" customFormat="1" ht="11.25">
      <c r="A795" s="131" t="s">
        <v>630</v>
      </c>
      <c r="B795" s="131" t="s">
        <v>1700</v>
      </c>
      <c r="C795" s="131" t="s">
        <v>2896</v>
      </c>
      <c r="D795" s="131" t="s">
        <v>3456</v>
      </c>
      <c r="E795" s="132">
        <v>8</v>
      </c>
      <c r="F795" s="132">
        <v>0</v>
      </c>
      <c r="G795" s="132">
        <f t="shared" si="236"/>
        <v>0</v>
      </c>
      <c r="H795" s="132">
        <f t="shared" si="237"/>
        <v>0</v>
      </c>
      <c r="I795" s="132">
        <f t="shared" si="238"/>
        <v>0</v>
      </c>
      <c r="J795" s="132">
        <v>0.00032</v>
      </c>
      <c r="K795" s="132">
        <f t="shared" si="239"/>
        <v>0.00256</v>
      </c>
      <c r="M795" s="133" t="s">
        <v>1101</v>
      </c>
      <c r="N795" s="132">
        <f t="shared" si="240"/>
        <v>0</v>
      </c>
      <c r="Y795" s="132">
        <f t="shared" si="241"/>
        <v>0</v>
      </c>
      <c r="Z795" s="132">
        <f t="shared" si="242"/>
        <v>0</v>
      </c>
      <c r="AA795" s="132">
        <f t="shared" si="243"/>
        <v>0</v>
      </c>
      <c r="AC795" s="125">
        <v>20</v>
      </c>
      <c r="AD795" s="125">
        <f t="shared" si="244"/>
        <v>0</v>
      </c>
      <c r="AE795" s="125">
        <f t="shared" si="245"/>
        <v>0</v>
      </c>
    </row>
    <row r="796" spans="1:31" s="90" customFormat="1" ht="11.25">
      <c r="A796" s="122" t="s">
        <v>631</v>
      </c>
      <c r="B796" s="122" t="s">
        <v>1701</v>
      </c>
      <c r="C796" s="122" t="s">
        <v>2897</v>
      </c>
      <c r="D796" s="122" t="s">
        <v>3458</v>
      </c>
      <c r="E796" s="123">
        <v>51.48</v>
      </c>
      <c r="F796" s="123">
        <v>0</v>
      </c>
      <c r="G796" s="123">
        <f t="shared" si="236"/>
        <v>0</v>
      </c>
      <c r="H796" s="123">
        <f t="shared" si="237"/>
        <v>0</v>
      </c>
      <c r="I796" s="123">
        <f t="shared" si="238"/>
        <v>0</v>
      </c>
      <c r="J796" s="123">
        <v>1.1322</v>
      </c>
      <c r="K796" s="123">
        <f t="shared" si="239"/>
        <v>58.285656</v>
      </c>
      <c r="M796" s="124" t="s">
        <v>7</v>
      </c>
      <c r="N796" s="123">
        <f t="shared" si="240"/>
        <v>0</v>
      </c>
      <c r="Y796" s="123">
        <f t="shared" si="241"/>
        <v>0</v>
      </c>
      <c r="Z796" s="123">
        <f t="shared" si="242"/>
        <v>0</v>
      </c>
      <c r="AA796" s="123">
        <f t="shared" si="243"/>
        <v>0</v>
      </c>
      <c r="AC796" s="125">
        <v>20</v>
      </c>
      <c r="AD796" s="125">
        <f>F796*0.471248035839658</f>
        <v>0</v>
      </c>
      <c r="AE796" s="125">
        <f>F796*(1-0.471248035839658)</f>
        <v>0</v>
      </c>
    </row>
    <row r="797" spans="1:31" s="90" customFormat="1" ht="11.25">
      <c r="A797" s="122" t="s">
        <v>632</v>
      </c>
      <c r="B797" s="122" t="s">
        <v>1702</v>
      </c>
      <c r="C797" s="122" t="s">
        <v>2898</v>
      </c>
      <c r="D797" s="122" t="s">
        <v>3455</v>
      </c>
      <c r="E797" s="123">
        <v>60</v>
      </c>
      <c r="F797" s="123">
        <v>0</v>
      </c>
      <c r="G797" s="123">
        <f t="shared" si="236"/>
        <v>0</v>
      </c>
      <c r="H797" s="123">
        <f t="shared" si="237"/>
        <v>0</v>
      </c>
      <c r="I797" s="123">
        <f t="shared" si="238"/>
        <v>0</v>
      </c>
      <c r="J797" s="123">
        <v>0</v>
      </c>
      <c r="K797" s="123">
        <f t="shared" si="239"/>
        <v>0</v>
      </c>
      <c r="M797" s="124" t="s">
        <v>7</v>
      </c>
      <c r="N797" s="123">
        <f t="shared" si="240"/>
        <v>0</v>
      </c>
      <c r="Y797" s="123">
        <f t="shared" si="241"/>
        <v>0</v>
      </c>
      <c r="Z797" s="123">
        <f t="shared" si="242"/>
        <v>0</v>
      </c>
      <c r="AA797" s="123">
        <f t="shared" si="243"/>
        <v>0</v>
      </c>
      <c r="AC797" s="125">
        <v>20</v>
      </c>
      <c r="AD797" s="125">
        <f>F797*0</f>
        <v>0</v>
      </c>
      <c r="AE797" s="125">
        <f>F797*(1-0)</f>
        <v>0</v>
      </c>
    </row>
    <row r="798" spans="1:31" s="90" customFormat="1" ht="11.25">
      <c r="A798" s="122" t="s">
        <v>633</v>
      </c>
      <c r="B798" s="122" t="s">
        <v>1703</v>
      </c>
      <c r="C798" s="122" t="s">
        <v>2899</v>
      </c>
      <c r="D798" s="122" t="s">
        <v>3455</v>
      </c>
      <c r="E798" s="123">
        <v>50.7</v>
      </c>
      <c r="F798" s="123">
        <v>0</v>
      </c>
      <c r="G798" s="123">
        <f t="shared" si="236"/>
        <v>0</v>
      </c>
      <c r="H798" s="123">
        <f t="shared" si="237"/>
        <v>0</v>
      </c>
      <c r="I798" s="123">
        <f t="shared" si="238"/>
        <v>0</v>
      </c>
      <c r="J798" s="123">
        <v>2E-05</v>
      </c>
      <c r="K798" s="123">
        <f t="shared" si="239"/>
        <v>0.0010140000000000001</v>
      </c>
      <c r="M798" s="124" t="s">
        <v>7</v>
      </c>
      <c r="N798" s="123">
        <f t="shared" si="240"/>
        <v>0</v>
      </c>
      <c r="Y798" s="123">
        <f t="shared" si="241"/>
        <v>0</v>
      </c>
      <c r="Z798" s="123">
        <f t="shared" si="242"/>
        <v>0</v>
      </c>
      <c r="AA798" s="123">
        <f t="shared" si="243"/>
        <v>0</v>
      </c>
      <c r="AC798" s="125">
        <v>20</v>
      </c>
      <c r="AD798" s="125">
        <f>F798*0.1402460456942</f>
        <v>0</v>
      </c>
      <c r="AE798" s="125">
        <f>F798*(1-0.1402460456942)</f>
        <v>0</v>
      </c>
    </row>
    <row r="799" spans="1:31" s="90" customFormat="1" ht="11.25">
      <c r="A799" s="122" t="s">
        <v>634</v>
      </c>
      <c r="B799" s="122" t="s">
        <v>1704</v>
      </c>
      <c r="C799" s="122" t="s">
        <v>2900</v>
      </c>
      <c r="D799" s="122" t="s">
        <v>3455</v>
      </c>
      <c r="E799" s="123">
        <v>44.7</v>
      </c>
      <c r="F799" s="123">
        <v>0</v>
      </c>
      <c r="G799" s="123">
        <f t="shared" si="236"/>
        <v>0</v>
      </c>
      <c r="H799" s="123">
        <f t="shared" si="237"/>
        <v>0</v>
      </c>
      <c r="I799" s="123">
        <f t="shared" si="238"/>
        <v>0</v>
      </c>
      <c r="J799" s="123">
        <v>0</v>
      </c>
      <c r="K799" s="123">
        <f t="shared" si="239"/>
        <v>0</v>
      </c>
      <c r="M799" s="124" t="s">
        <v>7</v>
      </c>
      <c r="N799" s="123">
        <f t="shared" si="240"/>
        <v>0</v>
      </c>
      <c r="Y799" s="123">
        <f t="shared" si="241"/>
        <v>0</v>
      </c>
      <c r="Z799" s="123">
        <f t="shared" si="242"/>
        <v>0</v>
      </c>
      <c r="AA799" s="123">
        <f t="shared" si="243"/>
        <v>0</v>
      </c>
      <c r="AC799" s="125">
        <v>20</v>
      </c>
      <c r="AD799" s="125">
        <f>F799*0.00437226733291693</f>
        <v>0</v>
      </c>
      <c r="AE799" s="125">
        <f>F799*(1-0.00437226733291693)</f>
        <v>0</v>
      </c>
    </row>
    <row r="800" spans="1:31" s="90" customFormat="1" ht="11.25">
      <c r="A800" s="122" t="s">
        <v>635</v>
      </c>
      <c r="B800" s="122" t="s">
        <v>1705</v>
      </c>
      <c r="C800" s="122" t="s">
        <v>2901</v>
      </c>
      <c r="D800" s="122" t="s">
        <v>3455</v>
      </c>
      <c r="E800" s="123">
        <v>167.3</v>
      </c>
      <c r="F800" s="123">
        <v>0</v>
      </c>
      <c r="G800" s="123">
        <f t="shared" si="236"/>
        <v>0</v>
      </c>
      <c r="H800" s="123">
        <f t="shared" si="237"/>
        <v>0</v>
      </c>
      <c r="I800" s="123">
        <f t="shared" si="238"/>
        <v>0</v>
      </c>
      <c r="J800" s="123">
        <v>0.00237</v>
      </c>
      <c r="K800" s="123">
        <f t="shared" si="239"/>
        <v>0.39650100000000005</v>
      </c>
      <c r="M800" s="124" t="s">
        <v>7</v>
      </c>
      <c r="N800" s="123">
        <f t="shared" si="240"/>
        <v>0</v>
      </c>
      <c r="Y800" s="123">
        <f t="shared" si="241"/>
        <v>0</v>
      </c>
      <c r="Z800" s="123">
        <f t="shared" si="242"/>
        <v>0</v>
      </c>
      <c r="AA800" s="123">
        <f t="shared" si="243"/>
        <v>0</v>
      </c>
      <c r="AC800" s="125">
        <v>20</v>
      </c>
      <c r="AD800" s="125">
        <f>F800*0.880733258511036</f>
        <v>0</v>
      </c>
      <c r="AE800" s="125">
        <f>F800*(1-0.880733258511036)</f>
        <v>0</v>
      </c>
    </row>
    <row r="801" s="90" customFormat="1" ht="11.25">
      <c r="C801" s="126" t="s">
        <v>2902</v>
      </c>
    </row>
    <row r="802" spans="1:31" s="90" customFormat="1" ht="11.25">
      <c r="A802" s="122" t="s">
        <v>636</v>
      </c>
      <c r="B802" s="122" t="s">
        <v>1706</v>
      </c>
      <c r="C802" s="122" t="s">
        <v>2903</v>
      </c>
      <c r="D802" s="122" t="s">
        <v>3455</v>
      </c>
      <c r="E802" s="123">
        <v>110.2</v>
      </c>
      <c r="F802" s="123">
        <v>0</v>
      </c>
      <c r="G802" s="123">
        <f>ROUND(E802*AD802,2)</f>
        <v>0</v>
      </c>
      <c r="H802" s="123">
        <f>I802-G802</f>
        <v>0</v>
      </c>
      <c r="I802" s="123">
        <f>ROUND(E802*F802,2)</f>
        <v>0</v>
      </c>
      <c r="J802" s="123">
        <v>0.00365</v>
      </c>
      <c r="K802" s="123">
        <f>E802*J802</f>
        <v>0.40223000000000003</v>
      </c>
      <c r="M802" s="124" t="s">
        <v>7</v>
      </c>
      <c r="N802" s="123">
        <f>IF(M802="5",H802,0)</f>
        <v>0</v>
      </c>
      <c r="Y802" s="123">
        <f>IF(AC802=0,I802,0)</f>
        <v>0</v>
      </c>
      <c r="Z802" s="123">
        <f>IF(AC802=14,I802,0)</f>
        <v>0</v>
      </c>
      <c r="AA802" s="123">
        <f>IF(AC802=20,I802,0)</f>
        <v>0</v>
      </c>
      <c r="AC802" s="125">
        <v>20</v>
      </c>
      <c r="AD802" s="125">
        <f>F802*0.907907241969207</f>
        <v>0</v>
      </c>
      <c r="AE802" s="125">
        <f>F802*(1-0.907907241969207)</f>
        <v>0</v>
      </c>
    </row>
    <row r="803" s="90" customFormat="1" ht="11.25">
      <c r="C803" s="126" t="s">
        <v>2904</v>
      </c>
    </row>
    <row r="804" spans="1:31" s="90" customFormat="1" ht="11.25">
      <c r="A804" s="122" t="s">
        <v>637</v>
      </c>
      <c r="B804" s="122" t="s">
        <v>1707</v>
      </c>
      <c r="C804" s="122" t="s">
        <v>2905</v>
      </c>
      <c r="D804" s="122" t="s">
        <v>3456</v>
      </c>
      <c r="E804" s="123">
        <v>117</v>
      </c>
      <c r="F804" s="123">
        <v>0</v>
      </c>
      <c r="G804" s="123">
        <f>ROUND(E804*AD804,2)</f>
        <v>0</v>
      </c>
      <c r="H804" s="123">
        <f>I804-G804</f>
        <v>0</v>
      </c>
      <c r="I804" s="123">
        <f>ROUND(E804*F804,2)</f>
        <v>0</v>
      </c>
      <c r="J804" s="123">
        <v>1E-05</v>
      </c>
      <c r="K804" s="123">
        <f>E804*J804</f>
        <v>0.00117</v>
      </c>
      <c r="M804" s="124" t="s">
        <v>7</v>
      </c>
      <c r="N804" s="123">
        <f>IF(M804="5",H804,0)</f>
        <v>0</v>
      </c>
      <c r="Y804" s="123">
        <f>IF(AC804=0,I804,0)</f>
        <v>0</v>
      </c>
      <c r="Z804" s="123">
        <f>IF(AC804=14,I804,0)</f>
        <v>0</v>
      </c>
      <c r="AA804" s="123">
        <f>IF(AC804=20,I804,0)</f>
        <v>0</v>
      </c>
      <c r="AC804" s="125">
        <v>20</v>
      </c>
      <c r="AD804" s="125">
        <f>F804*0.005338904363974</f>
        <v>0</v>
      </c>
      <c r="AE804" s="125">
        <f>F804*(1-0.005338904363974)</f>
        <v>0</v>
      </c>
    </row>
    <row r="805" spans="1:31" s="90" customFormat="1" ht="11.25">
      <c r="A805" s="122" t="s">
        <v>638</v>
      </c>
      <c r="B805" s="122" t="s">
        <v>1708</v>
      </c>
      <c r="C805" s="122" t="s">
        <v>2906</v>
      </c>
      <c r="D805" s="122" t="s">
        <v>3456</v>
      </c>
      <c r="E805" s="123">
        <v>16</v>
      </c>
      <c r="F805" s="123">
        <v>0</v>
      </c>
      <c r="G805" s="123">
        <f>ROUND(E805*AD805,2)</f>
        <v>0</v>
      </c>
      <c r="H805" s="123">
        <f>I805-G805</f>
        <v>0</v>
      </c>
      <c r="I805" s="123">
        <f>ROUND(E805*F805,2)</f>
        <v>0</v>
      </c>
      <c r="J805" s="123">
        <v>3E-05</v>
      </c>
      <c r="K805" s="123">
        <f>E805*J805</f>
        <v>0.00048</v>
      </c>
      <c r="M805" s="124" t="s">
        <v>7</v>
      </c>
      <c r="N805" s="123">
        <f>IF(M805="5",H805,0)</f>
        <v>0</v>
      </c>
      <c r="Y805" s="123">
        <f>IF(AC805=0,I805,0)</f>
        <v>0</v>
      </c>
      <c r="Z805" s="123">
        <f>IF(AC805=14,I805,0)</f>
        <v>0</v>
      </c>
      <c r="AA805" s="123">
        <f>IF(AC805=20,I805,0)</f>
        <v>0</v>
      </c>
      <c r="AC805" s="125">
        <v>20</v>
      </c>
      <c r="AD805" s="125">
        <f>F805*0.00716934487021014</f>
        <v>0</v>
      </c>
      <c r="AE805" s="125">
        <f>F805*(1-0.00716934487021014)</f>
        <v>0</v>
      </c>
    </row>
    <row r="806" spans="1:31" s="90" customFormat="1" ht="11.25">
      <c r="A806" s="122" t="s">
        <v>639</v>
      </c>
      <c r="B806" s="122" t="s">
        <v>1709</v>
      </c>
      <c r="C806" s="122" t="s">
        <v>2907</v>
      </c>
      <c r="D806" s="122" t="s">
        <v>3456</v>
      </c>
      <c r="E806" s="123">
        <v>7</v>
      </c>
      <c r="F806" s="123">
        <v>0</v>
      </c>
      <c r="G806" s="123">
        <f>ROUND(E806*AD806,2)</f>
        <v>0</v>
      </c>
      <c r="H806" s="123">
        <f>I806-G806</f>
        <v>0</v>
      </c>
      <c r="I806" s="123">
        <f>ROUND(E806*F806,2)</f>
        <v>0</v>
      </c>
      <c r="J806" s="123">
        <v>2E-05</v>
      </c>
      <c r="K806" s="123">
        <f>E806*J806</f>
        <v>0.00014000000000000001</v>
      </c>
      <c r="M806" s="124" t="s">
        <v>7</v>
      </c>
      <c r="N806" s="123">
        <f>IF(M806="5",H806,0)</f>
        <v>0</v>
      </c>
      <c r="Y806" s="123">
        <f>IF(AC806=0,I806,0)</f>
        <v>0</v>
      </c>
      <c r="Z806" s="123">
        <f>IF(AC806=14,I806,0)</f>
        <v>0</v>
      </c>
      <c r="AA806" s="123">
        <f>IF(AC806=20,I806,0)</f>
        <v>0</v>
      </c>
      <c r="AC806" s="125">
        <v>20</v>
      </c>
      <c r="AD806" s="125">
        <f>F806*0.00673400673400673</f>
        <v>0</v>
      </c>
      <c r="AE806" s="125">
        <f>F806*(1-0.00673400673400673)</f>
        <v>0</v>
      </c>
    </row>
    <row r="807" spans="1:31" s="90" customFormat="1" ht="11.25">
      <c r="A807" s="122" t="s">
        <v>640</v>
      </c>
      <c r="B807" s="122" t="s">
        <v>1710</v>
      </c>
      <c r="C807" s="122" t="s">
        <v>2908</v>
      </c>
      <c r="D807" s="122" t="s">
        <v>3460</v>
      </c>
      <c r="E807" s="123">
        <v>59.3968</v>
      </c>
      <c r="F807" s="123">
        <v>0</v>
      </c>
      <c r="G807" s="123">
        <f>ROUND(E807*AD807,2)</f>
        <v>0</v>
      </c>
      <c r="H807" s="123">
        <f>I807-G807</f>
        <v>0</v>
      </c>
      <c r="I807" s="123">
        <f>ROUND(E807*F807,2)</f>
        <v>0</v>
      </c>
      <c r="J807" s="123">
        <v>0</v>
      </c>
      <c r="K807" s="123">
        <f>E807*J807</f>
        <v>0</v>
      </c>
      <c r="M807" s="124" t="s">
        <v>11</v>
      </c>
      <c r="N807" s="123">
        <f>IF(M807="5",H807,0)</f>
        <v>0</v>
      </c>
      <c r="Y807" s="123">
        <f>IF(AC807=0,I807,0)</f>
        <v>0</v>
      </c>
      <c r="Z807" s="123">
        <f>IF(AC807=14,I807,0)</f>
        <v>0</v>
      </c>
      <c r="AA807" s="123">
        <f>IF(AC807=20,I807,0)</f>
        <v>0</v>
      </c>
      <c r="AC807" s="125">
        <v>20</v>
      </c>
      <c r="AD807" s="125">
        <f>F807*0</f>
        <v>0</v>
      </c>
      <c r="AE807" s="125">
        <f>F807*(1-0)</f>
        <v>0</v>
      </c>
    </row>
    <row r="808" spans="1:36" s="90" customFormat="1" ht="11.25">
      <c r="A808" s="127"/>
      <c r="B808" s="128" t="s">
        <v>95</v>
      </c>
      <c r="C808" s="129" t="s">
        <v>2909</v>
      </c>
      <c r="D808" s="130"/>
      <c r="E808" s="130"/>
      <c r="F808" s="130"/>
      <c r="G808" s="121">
        <f>SUM(G809:G828)</f>
        <v>0</v>
      </c>
      <c r="H808" s="121">
        <f>SUM(H809:H828)</f>
        <v>0</v>
      </c>
      <c r="I808" s="121">
        <f>G808+H808</f>
        <v>0</v>
      </c>
      <c r="J808" s="114"/>
      <c r="K808" s="121">
        <f>SUM(K809:K828)</f>
        <v>24.853799999999996</v>
      </c>
      <c r="O808" s="121">
        <f>IF(P808="PR",I808,SUM(N809:N828))</f>
        <v>0</v>
      </c>
      <c r="P808" s="114" t="s">
        <v>3489</v>
      </c>
      <c r="Q808" s="121">
        <f>IF(P808="HS",G808,0)</f>
        <v>0</v>
      </c>
      <c r="R808" s="121">
        <f>IF(P808="HS",H808-O808,0)</f>
        <v>0</v>
      </c>
      <c r="S808" s="121">
        <f>IF(P808="PS",G808,0)</f>
        <v>0</v>
      </c>
      <c r="T808" s="121">
        <f>IF(P808="PS",H808-O808,0)</f>
        <v>0</v>
      </c>
      <c r="U808" s="121">
        <f>IF(P808="MP",G808,0)</f>
        <v>0</v>
      </c>
      <c r="V808" s="121">
        <f>IF(P808="MP",H808-O808,0)</f>
        <v>0</v>
      </c>
      <c r="W808" s="121">
        <f>IF(P808="OM",G808,0)</f>
        <v>0</v>
      </c>
      <c r="X808" s="114"/>
      <c r="AH808" s="121">
        <f>SUM(Y809:Y828)</f>
        <v>0</v>
      </c>
      <c r="AI808" s="121">
        <f>SUM(Z809:Z828)</f>
        <v>0</v>
      </c>
      <c r="AJ808" s="121">
        <f>SUM(AA809:AA828)</f>
        <v>0</v>
      </c>
    </row>
    <row r="809" spans="1:31" s="90" customFormat="1" ht="11.25">
      <c r="A809" s="122" t="s">
        <v>641</v>
      </c>
      <c r="B809" s="122" t="s">
        <v>1711</v>
      </c>
      <c r="C809" s="122" t="s">
        <v>2910</v>
      </c>
      <c r="D809" s="122" t="s">
        <v>3456</v>
      </c>
      <c r="E809" s="123">
        <v>1</v>
      </c>
      <c r="F809" s="123">
        <v>0</v>
      </c>
      <c r="G809" s="123">
        <f aca="true" t="shared" si="246" ref="G809:G814">ROUND(E809*AD809,2)</f>
        <v>0</v>
      </c>
      <c r="H809" s="123">
        <f aca="true" t="shared" si="247" ref="H809:H814">I809-G809</f>
        <v>0</v>
      </c>
      <c r="I809" s="123">
        <f aca="true" t="shared" si="248" ref="I809:I814">ROUND(E809*F809,2)</f>
        <v>0</v>
      </c>
      <c r="J809" s="123">
        <v>0</v>
      </c>
      <c r="K809" s="123">
        <f aca="true" t="shared" si="249" ref="K809:K814">E809*J809</f>
        <v>0</v>
      </c>
      <c r="M809" s="124" t="s">
        <v>8</v>
      </c>
      <c r="N809" s="123">
        <f aca="true" t="shared" si="250" ref="N809:N814">IF(M809="5",H809,0)</f>
        <v>0</v>
      </c>
      <c r="Y809" s="123">
        <f aca="true" t="shared" si="251" ref="Y809:Y814">IF(AC809=0,I809,0)</f>
        <v>0</v>
      </c>
      <c r="Z809" s="123">
        <f aca="true" t="shared" si="252" ref="Z809:Z814">IF(AC809=14,I809,0)</f>
        <v>0</v>
      </c>
      <c r="AA809" s="123">
        <f aca="true" t="shared" si="253" ref="AA809:AA814">IF(AC809=20,I809,0)</f>
        <v>0</v>
      </c>
      <c r="AC809" s="125">
        <v>20</v>
      </c>
      <c r="AD809" s="125">
        <f>F809*0</f>
        <v>0</v>
      </c>
      <c r="AE809" s="125">
        <f>F809*(1-0)</f>
        <v>0</v>
      </c>
    </row>
    <row r="810" spans="1:31" s="90" customFormat="1" ht="11.25">
      <c r="A810" s="131" t="s">
        <v>642</v>
      </c>
      <c r="B810" s="131" t="s">
        <v>1712</v>
      </c>
      <c r="C810" s="131" t="s">
        <v>2911</v>
      </c>
      <c r="D810" s="131" t="s">
        <v>3456</v>
      </c>
      <c r="E810" s="132">
        <v>1</v>
      </c>
      <c r="F810" s="132">
        <v>0</v>
      </c>
      <c r="G810" s="132">
        <f t="shared" si="246"/>
        <v>0</v>
      </c>
      <c r="H810" s="132">
        <f t="shared" si="247"/>
        <v>0</v>
      </c>
      <c r="I810" s="132">
        <f t="shared" si="248"/>
        <v>0</v>
      </c>
      <c r="J810" s="132">
        <v>0.0113</v>
      </c>
      <c r="K810" s="132">
        <f t="shared" si="249"/>
        <v>0.0113</v>
      </c>
      <c r="M810" s="133" t="s">
        <v>1101</v>
      </c>
      <c r="N810" s="132">
        <f t="shared" si="250"/>
        <v>0</v>
      </c>
      <c r="Y810" s="132">
        <f t="shared" si="251"/>
        <v>0</v>
      </c>
      <c r="Z810" s="132">
        <f t="shared" si="252"/>
        <v>0</v>
      </c>
      <c r="AA810" s="132">
        <f t="shared" si="253"/>
        <v>0</v>
      </c>
      <c r="AC810" s="125">
        <v>20</v>
      </c>
      <c r="AD810" s="125">
        <f>F810*1</f>
        <v>0</v>
      </c>
      <c r="AE810" s="125">
        <f>F810*(1-1)</f>
        <v>0</v>
      </c>
    </row>
    <row r="811" spans="1:31" s="90" customFormat="1" ht="11.25">
      <c r="A811" s="131" t="s">
        <v>643</v>
      </c>
      <c r="B811" s="131" t="s">
        <v>1713</v>
      </c>
      <c r="C811" s="131" t="s">
        <v>2912</v>
      </c>
      <c r="D811" s="131" t="s">
        <v>3456</v>
      </c>
      <c r="E811" s="132">
        <v>1</v>
      </c>
      <c r="F811" s="132">
        <v>0</v>
      </c>
      <c r="G811" s="132">
        <f t="shared" si="246"/>
        <v>0</v>
      </c>
      <c r="H811" s="132">
        <f t="shared" si="247"/>
        <v>0</v>
      </c>
      <c r="I811" s="132">
        <f t="shared" si="248"/>
        <v>0</v>
      </c>
      <c r="J811" s="132">
        <v>0.0105</v>
      </c>
      <c r="K811" s="132">
        <f t="shared" si="249"/>
        <v>0.0105</v>
      </c>
      <c r="M811" s="133" t="s">
        <v>1101</v>
      </c>
      <c r="N811" s="132">
        <f t="shared" si="250"/>
        <v>0</v>
      </c>
      <c r="Y811" s="132">
        <f t="shared" si="251"/>
        <v>0</v>
      </c>
      <c r="Z811" s="132">
        <f t="shared" si="252"/>
        <v>0</v>
      </c>
      <c r="AA811" s="132">
        <f t="shared" si="253"/>
        <v>0</v>
      </c>
      <c r="AC811" s="125">
        <v>20</v>
      </c>
      <c r="AD811" s="125">
        <f>F811*1</f>
        <v>0</v>
      </c>
      <c r="AE811" s="125">
        <f>F811*(1-1)</f>
        <v>0</v>
      </c>
    </row>
    <row r="812" spans="1:31" s="90" customFormat="1" ht="11.25">
      <c r="A812" s="131" t="s">
        <v>644</v>
      </c>
      <c r="B812" s="131" t="s">
        <v>1714</v>
      </c>
      <c r="C812" s="131" t="s">
        <v>2913</v>
      </c>
      <c r="D812" s="131" t="s">
        <v>3456</v>
      </c>
      <c r="E812" s="132">
        <v>1</v>
      </c>
      <c r="F812" s="132">
        <v>0</v>
      </c>
      <c r="G812" s="132">
        <f t="shared" si="246"/>
        <v>0</v>
      </c>
      <c r="H812" s="132">
        <f t="shared" si="247"/>
        <v>0</v>
      </c>
      <c r="I812" s="132">
        <f t="shared" si="248"/>
        <v>0</v>
      </c>
      <c r="J812" s="132">
        <v>0.0055</v>
      </c>
      <c r="K812" s="132">
        <f t="shared" si="249"/>
        <v>0.0055</v>
      </c>
      <c r="M812" s="133" t="s">
        <v>1101</v>
      </c>
      <c r="N812" s="132">
        <f t="shared" si="250"/>
        <v>0</v>
      </c>
      <c r="Y812" s="132">
        <f t="shared" si="251"/>
        <v>0</v>
      </c>
      <c r="Z812" s="132">
        <f t="shared" si="252"/>
        <v>0</v>
      </c>
      <c r="AA812" s="132">
        <f t="shared" si="253"/>
        <v>0</v>
      </c>
      <c r="AC812" s="125">
        <v>20</v>
      </c>
      <c r="AD812" s="125">
        <f>F812*1</f>
        <v>0</v>
      </c>
      <c r="AE812" s="125">
        <f>F812*(1-1)</f>
        <v>0</v>
      </c>
    </row>
    <row r="813" spans="1:31" s="90" customFormat="1" ht="11.25">
      <c r="A813" s="122" t="s">
        <v>645</v>
      </c>
      <c r="B813" s="122" t="s">
        <v>1715</v>
      </c>
      <c r="C813" s="122" t="s">
        <v>2914</v>
      </c>
      <c r="D813" s="122" t="s">
        <v>3456</v>
      </c>
      <c r="E813" s="123">
        <v>1</v>
      </c>
      <c r="F813" s="123">
        <v>0</v>
      </c>
      <c r="G813" s="123">
        <f t="shared" si="246"/>
        <v>0</v>
      </c>
      <c r="H813" s="123">
        <f t="shared" si="247"/>
        <v>0</v>
      </c>
      <c r="I813" s="123">
        <f t="shared" si="248"/>
        <v>0</v>
      </c>
      <c r="J813" s="123">
        <v>1.24246</v>
      </c>
      <c r="K813" s="123">
        <f t="shared" si="249"/>
        <v>1.24246</v>
      </c>
      <c r="M813" s="124" t="s">
        <v>7</v>
      </c>
      <c r="N813" s="123">
        <f t="shared" si="250"/>
        <v>0</v>
      </c>
      <c r="Y813" s="123">
        <f t="shared" si="251"/>
        <v>0</v>
      </c>
      <c r="Z813" s="123">
        <f t="shared" si="252"/>
        <v>0</v>
      </c>
      <c r="AA813" s="123">
        <f t="shared" si="253"/>
        <v>0</v>
      </c>
      <c r="AC813" s="125">
        <v>20</v>
      </c>
      <c r="AD813" s="125">
        <f>F813*0.216509288508278</f>
        <v>0</v>
      </c>
      <c r="AE813" s="125">
        <f>F813*(1-0.216509288508278)</f>
        <v>0</v>
      </c>
    </row>
    <row r="814" spans="1:31" s="90" customFormat="1" ht="11.25">
      <c r="A814" s="122" t="s">
        <v>646</v>
      </c>
      <c r="B814" s="122" t="s">
        <v>1716</v>
      </c>
      <c r="C814" s="122" t="s">
        <v>2915</v>
      </c>
      <c r="D814" s="122" t="s">
        <v>3457</v>
      </c>
      <c r="E814" s="123">
        <v>1</v>
      </c>
      <c r="F814" s="123">
        <v>0</v>
      </c>
      <c r="G814" s="123">
        <f t="shared" si="246"/>
        <v>0</v>
      </c>
      <c r="H814" s="123">
        <f t="shared" si="247"/>
        <v>0</v>
      </c>
      <c r="I814" s="123">
        <f t="shared" si="248"/>
        <v>0</v>
      </c>
      <c r="J814" s="123">
        <v>0.05</v>
      </c>
      <c r="K814" s="123">
        <f t="shared" si="249"/>
        <v>0.05</v>
      </c>
      <c r="M814" s="124" t="s">
        <v>7</v>
      </c>
      <c r="N814" s="123">
        <f t="shared" si="250"/>
        <v>0</v>
      </c>
      <c r="Y814" s="123">
        <f t="shared" si="251"/>
        <v>0</v>
      </c>
      <c r="Z814" s="123">
        <f t="shared" si="252"/>
        <v>0</v>
      </c>
      <c r="AA814" s="123">
        <f t="shared" si="253"/>
        <v>0</v>
      </c>
      <c r="AC814" s="125">
        <v>20</v>
      </c>
      <c r="AD814" s="125">
        <f>F814*0.775862068965517</f>
        <v>0</v>
      </c>
      <c r="AE814" s="125">
        <f>F814*(1-0.775862068965517)</f>
        <v>0</v>
      </c>
    </row>
    <row r="815" s="90" customFormat="1" ht="11.25">
      <c r="C815" s="126" t="s">
        <v>2916</v>
      </c>
    </row>
    <row r="816" spans="1:31" s="90" customFormat="1" ht="11.25">
      <c r="A816" s="122" t="s">
        <v>647</v>
      </c>
      <c r="B816" s="122" t="s">
        <v>1717</v>
      </c>
      <c r="C816" s="122" t="s">
        <v>2917</v>
      </c>
      <c r="D816" s="122" t="s">
        <v>3456</v>
      </c>
      <c r="E816" s="123">
        <v>1</v>
      </c>
      <c r="F816" s="123">
        <v>0</v>
      </c>
      <c r="G816" s="123">
        <f>ROUND(E816*AD816,2)</f>
        <v>0</v>
      </c>
      <c r="H816" s="123">
        <f>I816-G816</f>
        <v>0</v>
      </c>
      <c r="I816" s="123">
        <f>ROUND(E816*F816,2)</f>
        <v>0</v>
      </c>
      <c r="J816" s="123">
        <v>0.00021</v>
      </c>
      <c r="K816" s="123">
        <f>E816*J816</f>
        <v>0.00021</v>
      </c>
      <c r="M816" s="124" t="s">
        <v>7</v>
      </c>
      <c r="N816" s="123">
        <f>IF(M816="5",H816,0)</f>
        <v>0</v>
      </c>
      <c r="Y816" s="123">
        <f>IF(AC816=0,I816,0)</f>
        <v>0</v>
      </c>
      <c r="Z816" s="123">
        <f>IF(AC816=14,I816,0)</f>
        <v>0</v>
      </c>
      <c r="AA816" s="123">
        <f>IF(AC816=20,I816,0)</f>
        <v>0</v>
      </c>
      <c r="AC816" s="125">
        <v>20</v>
      </c>
      <c r="AD816" s="125">
        <f>F816*0.127213041160461</f>
        <v>0</v>
      </c>
      <c r="AE816" s="125">
        <f>F816*(1-0.127213041160461)</f>
        <v>0</v>
      </c>
    </row>
    <row r="817" spans="1:31" s="90" customFormat="1" ht="11.25">
      <c r="A817" s="122" t="s">
        <v>648</v>
      </c>
      <c r="B817" s="122" t="s">
        <v>1718</v>
      </c>
      <c r="C817" s="122" t="s">
        <v>2918</v>
      </c>
      <c r="D817" s="122" t="s">
        <v>3456</v>
      </c>
      <c r="E817" s="123">
        <v>4</v>
      </c>
      <c r="F817" s="123">
        <v>0</v>
      </c>
      <c r="G817" s="123">
        <f>ROUND(E817*AD817,2)</f>
        <v>0</v>
      </c>
      <c r="H817" s="123">
        <f>I817-G817</f>
        <v>0</v>
      </c>
      <c r="I817" s="123">
        <f>ROUND(E817*F817,2)</f>
        <v>0</v>
      </c>
      <c r="J817" s="123">
        <v>3.33252</v>
      </c>
      <c r="K817" s="123">
        <f>E817*J817</f>
        <v>13.33008</v>
      </c>
      <c r="M817" s="124" t="s">
        <v>9</v>
      </c>
      <c r="N817" s="123">
        <f>IF(M817="5",H817,0)</f>
        <v>0</v>
      </c>
      <c r="Y817" s="123">
        <f>IF(AC817=0,I817,0)</f>
        <v>0</v>
      </c>
      <c r="Z817" s="123">
        <f>IF(AC817=14,I817,0)</f>
        <v>0</v>
      </c>
      <c r="AA817" s="123">
        <f>IF(AC817=20,I817,0)</f>
        <v>0</v>
      </c>
      <c r="AC817" s="125">
        <v>20</v>
      </c>
      <c r="AD817" s="125">
        <f>F817*0.544464260070477</f>
        <v>0</v>
      </c>
      <c r="AE817" s="125">
        <f>F817*(1-0.544464260070477)</f>
        <v>0</v>
      </c>
    </row>
    <row r="818" s="90" customFormat="1" ht="22.5">
      <c r="C818" s="126" t="s">
        <v>2919</v>
      </c>
    </row>
    <row r="819" spans="1:31" s="90" customFormat="1" ht="11.25">
      <c r="A819" s="122" t="s">
        <v>649</v>
      </c>
      <c r="B819" s="122" t="s">
        <v>1719</v>
      </c>
      <c r="C819" s="122" t="s">
        <v>2918</v>
      </c>
      <c r="D819" s="122" t="s">
        <v>3456</v>
      </c>
      <c r="E819" s="123">
        <v>1</v>
      </c>
      <c r="F819" s="123">
        <v>0</v>
      </c>
      <c r="G819" s="123">
        <f>ROUND(E819*AD819,2)</f>
        <v>0</v>
      </c>
      <c r="H819" s="123">
        <f>I819-G819</f>
        <v>0</v>
      </c>
      <c r="I819" s="123">
        <f>ROUND(E819*F819,2)</f>
        <v>0</v>
      </c>
      <c r="J819" s="123">
        <v>3.74304</v>
      </c>
      <c r="K819" s="123">
        <f>E819*J819</f>
        <v>3.74304</v>
      </c>
      <c r="M819" s="124" t="s">
        <v>9</v>
      </c>
      <c r="N819" s="123">
        <f>IF(M819="5",H819,0)</f>
        <v>0</v>
      </c>
      <c r="Y819" s="123">
        <f>IF(AC819=0,I819,0)</f>
        <v>0</v>
      </c>
      <c r="Z819" s="123">
        <f>IF(AC819=14,I819,0)</f>
        <v>0</v>
      </c>
      <c r="AA819" s="123">
        <f>IF(AC819=20,I819,0)</f>
        <v>0</v>
      </c>
      <c r="AC819" s="125">
        <v>20</v>
      </c>
      <c r="AD819" s="125">
        <f>F819*0.535548420897086</f>
        <v>0</v>
      </c>
      <c r="AE819" s="125">
        <f>F819*(1-0.535548420897086)</f>
        <v>0</v>
      </c>
    </row>
    <row r="820" s="90" customFormat="1" ht="11.25">
      <c r="C820" s="126" t="s">
        <v>2920</v>
      </c>
    </row>
    <row r="821" spans="1:31" s="90" customFormat="1" ht="11.25">
      <c r="A821" s="122" t="s">
        <v>650</v>
      </c>
      <c r="B821" s="122" t="s">
        <v>1720</v>
      </c>
      <c r="C821" s="122" t="s">
        <v>2921</v>
      </c>
      <c r="D821" s="122" t="s">
        <v>3467</v>
      </c>
      <c r="E821" s="123">
        <v>3</v>
      </c>
      <c r="F821" s="123">
        <v>0</v>
      </c>
      <c r="G821" s="123">
        <f>ROUND(E821*AD821,2)</f>
        <v>0</v>
      </c>
      <c r="H821" s="123">
        <f>I821-G821</f>
        <v>0</v>
      </c>
      <c r="I821" s="123">
        <f>ROUND(E821*F821,2)</f>
        <v>0</v>
      </c>
      <c r="J821" s="123">
        <v>0.05973</v>
      </c>
      <c r="K821" s="123">
        <f>E821*J821</f>
        <v>0.17919</v>
      </c>
      <c r="M821" s="124" t="s">
        <v>9</v>
      </c>
      <c r="N821" s="123">
        <f>IF(M821="5",H821,0)</f>
        <v>0</v>
      </c>
      <c r="Y821" s="123">
        <f>IF(AC821=0,I821,0)</f>
        <v>0</v>
      </c>
      <c r="Z821" s="123">
        <f>IF(AC821=14,I821,0)</f>
        <v>0</v>
      </c>
      <c r="AA821" s="123">
        <f>IF(AC821=20,I821,0)</f>
        <v>0</v>
      </c>
      <c r="AC821" s="125">
        <v>20</v>
      </c>
      <c r="AD821" s="125">
        <f>F821*0.949487651489926</f>
        <v>0</v>
      </c>
      <c r="AE821" s="125">
        <f>F821*(1-0.949487651489926)</f>
        <v>0</v>
      </c>
    </row>
    <row r="822" s="90" customFormat="1" ht="11.25">
      <c r="C822" s="126" t="s">
        <v>2922</v>
      </c>
    </row>
    <row r="823" spans="1:31" s="90" customFormat="1" ht="11.25">
      <c r="A823" s="122" t="s">
        <v>651</v>
      </c>
      <c r="B823" s="122" t="s">
        <v>1721</v>
      </c>
      <c r="C823" s="122" t="s">
        <v>2923</v>
      </c>
      <c r="D823" s="122" t="s">
        <v>3456</v>
      </c>
      <c r="E823" s="123">
        <v>2</v>
      </c>
      <c r="F823" s="123">
        <v>0</v>
      </c>
      <c r="G823" s="123">
        <f>ROUND(E823*AD823,2)</f>
        <v>0</v>
      </c>
      <c r="H823" s="123">
        <f>I823-G823</f>
        <v>0</v>
      </c>
      <c r="I823" s="123">
        <f>ROUND(E823*F823,2)</f>
        <v>0</v>
      </c>
      <c r="J823" s="123">
        <v>2.92917</v>
      </c>
      <c r="K823" s="123">
        <f>E823*J823</f>
        <v>5.85834</v>
      </c>
      <c r="M823" s="124" t="s">
        <v>7</v>
      </c>
      <c r="N823" s="123">
        <f>IF(M823="5",H823,0)</f>
        <v>0</v>
      </c>
      <c r="Y823" s="123">
        <f>IF(AC823=0,I823,0)</f>
        <v>0</v>
      </c>
      <c r="Z823" s="123">
        <f>IF(AC823=14,I823,0)</f>
        <v>0</v>
      </c>
      <c r="AA823" s="123">
        <f>IF(AC823=20,I823,0)</f>
        <v>0</v>
      </c>
      <c r="AC823" s="125">
        <v>20</v>
      </c>
      <c r="AD823" s="125">
        <f>F823*0.83098481302626</f>
        <v>0</v>
      </c>
      <c r="AE823" s="125">
        <f>F823*(1-0.83098481302626)</f>
        <v>0</v>
      </c>
    </row>
    <row r="824" s="90" customFormat="1" ht="11.25">
      <c r="C824" s="126" t="s">
        <v>2924</v>
      </c>
    </row>
    <row r="825" spans="1:31" s="90" customFormat="1" ht="11.25">
      <c r="A825" s="122" t="s">
        <v>652</v>
      </c>
      <c r="B825" s="122" t="s">
        <v>1722</v>
      </c>
      <c r="C825" s="122" t="s">
        <v>2925</v>
      </c>
      <c r="D825" s="122" t="s">
        <v>3456</v>
      </c>
      <c r="E825" s="123">
        <v>2</v>
      </c>
      <c r="F825" s="123">
        <v>0</v>
      </c>
      <c r="G825" s="123">
        <f>ROUND(E825*AD825,2)</f>
        <v>0</v>
      </c>
      <c r="H825" s="123">
        <f>I825-G825</f>
        <v>0</v>
      </c>
      <c r="I825" s="123">
        <f>ROUND(E825*F825,2)</f>
        <v>0</v>
      </c>
      <c r="J825" s="123">
        <v>0.1557</v>
      </c>
      <c r="K825" s="123">
        <f>E825*J825</f>
        <v>0.3114</v>
      </c>
      <c r="M825" s="124" t="s">
        <v>7</v>
      </c>
      <c r="N825" s="123">
        <f>IF(M825="5",H825,0)</f>
        <v>0</v>
      </c>
      <c r="Y825" s="123">
        <f>IF(AC825=0,I825,0)</f>
        <v>0</v>
      </c>
      <c r="Z825" s="123">
        <f>IF(AC825=14,I825,0)</f>
        <v>0</v>
      </c>
      <c r="AA825" s="123">
        <f>IF(AC825=20,I825,0)</f>
        <v>0</v>
      </c>
      <c r="AC825" s="125">
        <v>20</v>
      </c>
      <c r="AD825" s="125">
        <f>F825*0.86561575786534</f>
        <v>0</v>
      </c>
      <c r="AE825" s="125">
        <f>F825*(1-0.86561575786534)</f>
        <v>0</v>
      </c>
    </row>
    <row r="826" s="90" customFormat="1" ht="11.25">
      <c r="C826" s="126" t="s">
        <v>2926</v>
      </c>
    </row>
    <row r="827" spans="1:31" s="90" customFormat="1" ht="11.25">
      <c r="A827" s="122" t="s">
        <v>653</v>
      </c>
      <c r="B827" s="122" t="s">
        <v>1723</v>
      </c>
      <c r="C827" s="122" t="s">
        <v>2927</v>
      </c>
      <c r="D827" s="122" t="s">
        <v>3456</v>
      </c>
      <c r="E827" s="123">
        <v>1</v>
      </c>
      <c r="F827" s="123">
        <v>0</v>
      </c>
      <c r="G827" s="123">
        <f>ROUND(E827*AD827,2)</f>
        <v>0</v>
      </c>
      <c r="H827" s="123">
        <f>I827-G827</f>
        <v>0</v>
      </c>
      <c r="I827" s="123">
        <f>ROUND(E827*F827,2)</f>
        <v>0</v>
      </c>
      <c r="J827" s="123">
        <v>0.11178</v>
      </c>
      <c r="K827" s="123">
        <f>E827*J827</f>
        <v>0.11178</v>
      </c>
      <c r="M827" s="124" t="s">
        <v>7</v>
      </c>
      <c r="N827" s="123">
        <f>IF(M827="5",H827,0)</f>
        <v>0</v>
      </c>
      <c r="Y827" s="123">
        <f>IF(AC827=0,I827,0)</f>
        <v>0</v>
      </c>
      <c r="Z827" s="123">
        <f>IF(AC827=14,I827,0)</f>
        <v>0</v>
      </c>
      <c r="AA827" s="123">
        <f>IF(AC827=20,I827,0)</f>
        <v>0</v>
      </c>
      <c r="AC827" s="125">
        <v>20</v>
      </c>
      <c r="AD827" s="125">
        <f>F827*0.448376007586534</f>
        <v>0</v>
      </c>
      <c r="AE827" s="125">
        <f>F827*(1-0.448376007586534)</f>
        <v>0</v>
      </c>
    </row>
    <row r="828" spans="1:31" s="90" customFormat="1" ht="11.25">
      <c r="A828" s="122" t="s">
        <v>654</v>
      </c>
      <c r="B828" s="122" t="s">
        <v>1710</v>
      </c>
      <c r="C828" s="122" t="s">
        <v>2908</v>
      </c>
      <c r="D828" s="122" t="s">
        <v>3460</v>
      </c>
      <c r="E828" s="123">
        <v>24.8538</v>
      </c>
      <c r="F828" s="123">
        <v>0</v>
      </c>
      <c r="G828" s="123">
        <f>ROUND(E828*AD828,2)</f>
        <v>0</v>
      </c>
      <c r="H828" s="123">
        <f>I828-G828</f>
        <v>0</v>
      </c>
      <c r="I828" s="123">
        <f>ROUND(E828*F828,2)</f>
        <v>0</v>
      </c>
      <c r="J828" s="123">
        <v>0</v>
      </c>
      <c r="K828" s="123">
        <f>E828*J828</f>
        <v>0</v>
      </c>
      <c r="M828" s="124" t="s">
        <v>11</v>
      </c>
      <c r="N828" s="123">
        <f>IF(M828="5",H828,0)</f>
        <v>0</v>
      </c>
      <c r="Y828" s="123">
        <f>IF(AC828=0,I828,0)</f>
        <v>0</v>
      </c>
      <c r="Z828" s="123">
        <f>IF(AC828=14,I828,0)</f>
        <v>0</v>
      </c>
      <c r="AA828" s="123">
        <f>IF(AC828=20,I828,0)</f>
        <v>0</v>
      </c>
      <c r="AC828" s="125">
        <v>20</v>
      </c>
      <c r="AD828" s="125">
        <f>F828*0</f>
        <v>0</v>
      </c>
      <c r="AE828" s="125">
        <f>F828*(1-0)</f>
        <v>0</v>
      </c>
    </row>
    <row r="829" spans="1:36" s="90" customFormat="1" ht="11.25">
      <c r="A829" s="127"/>
      <c r="B829" s="128" t="s">
        <v>97</v>
      </c>
      <c r="C829" s="129" t="s">
        <v>2928</v>
      </c>
      <c r="D829" s="130"/>
      <c r="E829" s="130"/>
      <c r="F829" s="130"/>
      <c r="G829" s="121">
        <f>SUM(G830:G835)</f>
        <v>0</v>
      </c>
      <c r="H829" s="121">
        <f>SUM(H830:H835)</f>
        <v>0</v>
      </c>
      <c r="I829" s="121">
        <f>G829+H829</f>
        <v>0</v>
      </c>
      <c r="J829" s="114"/>
      <c r="K829" s="121">
        <f>SUM(K830:K835)</f>
        <v>109.5932325</v>
      </c>
      <c r="O829" s="121">
        <f>IF(P829="PR",I829,SUM(N830:N835))</f>
        <v>0</v>
      </c>
      <c r="P829" s="114" t="s">
        <v>3489</v>
      </c>
      <c r="Q829" s="121">
        <f>IF(P829="HS",G829,0)</f>
        <v>0</v>
      </c>
      <c r="R829" s="121">
        <f>IF(P829="HS",H829-O829,0)</f>
        <v>0</v>
      </c>
      <c r="S829" s="121">
        <f>IF(P829="PS",G829,0)</f>
        <v>0</v>
      </c>
      <c r="T829" s="121">
        <f>IF(P829="PS",H829-O829,0)</f>
        <v>0</v>
      </c>
      <c r="U829" s="121">
        <f>IF(P829="MP",G829,0)</f>
        <v>0</v>
      </c>
      <c r="V829" s="121">
        <f>IF(P829="MP",H829-O829,0)</f>
        <v>0</v>
      </c>
      <c r="W829" s="121">
        <f>IF(P829="OM",G829,0)</f>
        <v>0</v>
      </c>
      <c r="X829" s="114"/>
      <c r="AH829" s="121">
        <f>SUM(Y830:Y835)</f>
        <v>0</v>
      </c>
      <c r="AI829" s="121">
        <f>SUM(Z830:Z835)</f>
        <v>0</v>
      </c>
      <c r="AJ829" s="121">
        <f>SUM(AA830:AA835)</f>
        <v>0</v>
      </c>
    </row>
    <row r="830" spans="1:31" s="90" customFormat="1" ht="11.25">
      <c r="A830" s="122" t="s">
        <v>655</v>
      </c>
      <c r="B830" s="122" t="s">
        <v>1724</v>
      </c>
      <c r="C830" s="122" t="s">
        <v>2929</v>
      </c>
      <c r="D830" s="122" t="s">
        <v>3455</v>
      </c>
      <c r="E830" s="123">
        <v>134</v>
      </c>
      <c r="F830" s="123">
        <v>0</v>
      </c>
      <c r="G830" s="123">
        <f>ROUND(E830*AD830,2)</f>
        <v>0</v>
      </c>
      <c r="H830" s="123">
        <f>I830-G830</f>
        <v>0</v>
      </c>
      <c r="I830" s="123">
        <f>ROUND(E830*F830,2)</f>
        <v>0</v>
      </c>
      <c r="J830" s="123">
        <v>0.2046</v>
      </c>
      <c r="K830" s="123">
        <f>E830*J830</f>
        <v>27.4164</v>
      </c>
      <c r="M830" s="124" t="s">
        <v>7</v>
      </c>
      <c r="N830" s="123">
        <f>IF(M830="5",H830,0)</f>
        <v>0</v>
      </c>
      <c r="Y830" s="123">
        <f>IF(AC830=0,I830,0)</f>
        <v>0</v>
      </c>
      <c r="Z830" s="123">
        <f>IF(AC830=14,I830,0)</f>
        <v>0</v>
      </c>
      <c r="AA830" s="123">
        <f>IF(AC830=20,I830,0)</f>
        <v>0</v>
      </c>
      <c r="AC830" s="125">
        <v>20</v>
      </c>
      <c r="AD830" s="125">
        <f>F830*0.762512484740872</f>
        <v>0</v>
      </c>
      <c r="AE830" s="125">
        <f>F830*(1-0.762512484740872)</f>
        <v>0</v>
      </c>
    </row>
    <row r="831" s="90" customFormat="1" ht="11.25">
      <c r="C831" s="126" t="s">
        <v>2930</v>
      </c>
    </row>
    <row r="832" spans="1:31" s="90" customFormat="1" ht="11.25">
      <c r="A832" s="122" t="s">
        <v>656</v>
      </c>
      <c r="B832" s="122" t="s">
        <v>1725</v>
      </c>
      <c r="C832" s="122" t="s">
        <v>2929</v>
      </c>
      <c r="D832" s="122" t="s">
        <v>3455</v>
      </c>
      <c r="E832" s="123">
        <v>134</v>
      </c>
      <c r="F832" s="123">
        <v>0</v>
      </c>
      <c r="G832" s="123">
        <f>ROUND(E832*AD832,2)</f>
        <v>0</v>
      </c>
      <c r="H832" s="123">
        <f>I832-G832</f>
        <v>0</v>
      </c>
      <c r="I832" s="123">
        <f>ROUND(E832*F832,2)</f>
        <v>0</v>
      </c>
      <c r="J832" s="123">
        <v>0.25914</v>
      </c>
      <c r="K832" s="123">
        <f>E832*J832</f>
        <v>34.724759999999996</v>
      </c>
      <c r="M832" s="124" t="s">
        <v>7</v>
      </c>
      <c r="N832" s="123">
        <f>IF(M832="5",H832,0)</f>
        <v>0</v>
      </c>
      <c r="Y832" s="123">
        <f>IF(AC832=0,I832,0)</f>
        <v>0</v>
      </c>
      <c r="Z832" s="123">
        <f>IF(AC832=14,I832,0)</f>
        <v>0</v>
      </c>
      <c r="AA832" s="123">
        <f>IF(AC832=20,I832,0)</f>
        <v>0</v>
      </c>
      <c r="AC832" s="125">
        <v>20</v>
      </c>
      <c r="AD832" s="125">
        <f>F832*0.806521608100778</f>
        <v>0</v>
      </c>
      <c r="AE832" s="125">
        <f>F832*(1-0.806521608100778)</f>
        <v>0</v>
      </c>
    </row>
    <row r="833" s="90" customFormat="1" ht="11.25">
      <c r="C833" s="126" t="s">
        <v>2931</v>
      </c>
    </row>
    <row r="834" spans="1:31" s="90" customFormat="1" ht="11.25">
      <c r="A834" s="122" t="s">
        <v>657</v>
      </c>
      <c r="B834" s="122" t="s">
        <v>1726</v>
      </c>
      <c r="C834" s="122" t="s">
        <v>2932</v>
      </c>
      <c r="D834" s="122" t="s">
        <v>3458</v>
      </c>
      <c r="E834" s="123">
        <v>19.95</v>
      </c>
      <c r="F834" s="123">
        <v>0</v>
      </c>
      <c r="G834" s="123">
        <f>ROUND(E834*AD834,2)</f>
        <v>0</v>
      </c>
      <c r="H834" s="123">
        <f>I834-G834</f>
        <v>0</v>
      </c>
      <c r="I834" s="123">
        <f>ROUND(E834*F834,2)</f>
        <v>0</v>
      </c>
      <c r="J834" s="123">
        <v>2.37855</v>
      </c>
      <c r="K834" s="123">
        <f>E834*J834</f>
        <v>47.4520725</v>
      </c>
      <c r="M834" s="124" t="s">
        <v>7</v>
      </c>
      <c r="N834" s="123">
        <f>IF(M834="5",H834,0)</f>
        <v>0</v>
      </c>
      <c r="Y834" s="123">
        <f>IF(AC834=0,I834,0)</f>
        <v>0</v>
      </c>
      <c r="Z834" s="123">
        <f>IF(AC834=14,I834,0)</f>
        <v>0</v>
      </c>
      <c r="AA834" s="123">
        <f>IF(AC834=20,I834,0)</f>
        <v>0</v>
      </c>
      <c r="AC834" s="125">
        <v>20</v>
      </c>
      <c r="AD834" s="125">
        <f>F834*0.862532876600898</f>
        <v>0</v>
      </c>
      <c r="AE834" s="125">
        <f>F834*(1-0.862532876600898)</f>
        <v>0</v>
      </c>
    </row>
    <row r="835" spans="1:31" s="90" customFormat="1" ht="11.25">
      <c r="A835" s="122" t="s">
        <v>658</v>
      </c>
      <c r="B835" s="122" t="s">
        <v>1239</v>
      </c>
      <c r="C835" s="122" t="s">
        <v>2329</v>
      </c>
      <c r="D835" s="122" t="s">
        <v>3460</v>
      </c>
      <c r="E835" s="123">
        <v>109.59323</v>
      </c>
      <c r="F835" s="123">
        <v>0</v>
      </c>
      <c r="G835" s="123">
        <f>ROUND(E835*AD835,2)</f>
        <v>0</v>
      </c>
      <c r="H835" s="123">
        <f>I835-G835</f>
        <v>0</v>
      </c>
      <c r="I835" s="123">
        <f>ROUND(E835*F835,2)</f>
        <v>0</v>
      </c>
      <c r="J835" s="123">
        <v>0</v>
      </c>
      <c r="K835" s="123">
        <f>E835*J835</f>
        <v>0</v>
      </c>
      <c r="M835" s="124" t="s">
        <v>11</v>
      </c>
      <c r="N835" s="123">
        <f>IF(M835="5",H835,0)</f>
        <v>0</v>
      </c>
      <c r="Y835" s="123">
        <f>IF(AC835=0,I835,0)</f>
        <v>0</v>
      </c>
      <c r="Z835" s="123">
        <f>IF(AC835=14,I835,0)</f>
        <v>0</v>
      </c>
      <c r="AA835" s="123">
        <f>IF(AC835=20,I835,0)</f>
        <v>0</v>
      </c>
      <c r="AC835" s="125">
        <v>20</v>
      </c>
      <c r="AD835" s="125">
        <f>F835*0</f>
        <v>0</v>
      </c>
      <c r="AE835" s="125">
        <f>F835*(1-0)</f>
        <v>0</v>
      </c>
    </row>
    <row r="836" spans="1:36" s="90" customFormat="1" ht="11.25">
      <c r="A836" s="127"/>
      <c r="B836" s="128" t="s">
        <v>100</v>
      </c>
      <c r="C836" s="129" t="s">
        <v>2933</v>
      </c>
      <c r="D836" s="130"/>
      <c r="E836" s="130"/>
      <c r="F836" s="130"/>
      <c r="G836" s="121">
        <f>SUM(G837:G842)</f>
        <v>0</v>
      </c>
      <c r="H836" s="121">
        <f>SUM(H837:H842)</f>
        <v>0</v>
      </c>
      <c r="I836" s="121">
        <f>G836+H836</f>
        <v>0</v>
      </c>
      <c r="J836" s="114"/>
      <c r="K836" s="121">
        <f>SUM(K837:K842)</f>
        <v>11.919545999999999</v>
      </c>
      <c r="O836" s="121">
        <f>IF(P836="PR",I836,SUM(N837:N842))</f>
        <v>0</v>
      </c>
      <c r="P836" s="114" t="s">
        <v>3489</v>
      </c>
      <c r="Q836" s="121">
        <f>IF(P836="HS",G836,0)</f>
        <v>0</v>
      </c>
      <c r="R836" s="121">
        <f>IF(P836="HS",H836-O836,0)</f>
        <v>0</v>
      </c>
      <c r="S836" s="121">
        <f>IF(P836="PS",G836,0)</f>
        <v>0</v>
      </c>
      <c r="T836" s="121">
        <f>IF(P836="PS",H836-O836,0)</f>
        <v>0</v>
      </c>
      <c r="U836" s="121">
        <f>IF(P836="MP",G836,0)</f>
        <v>0</v>
      </c>
      <c r="V836" s="121">
        <f>IF(P836="MP",H836-O836,0)</f>
        <v>0</v>
      </c>
      <c r="W836" s="121">
        <f>IF(P836="OM",G836,0)</f>
        <v>0</v>
      </c>
      <c r="X836" s="114"/>
      <c r="AH836" s="121">
        <f>SUM(Y837:Y842)</f>
        <v>0</v>
      </c>
      <c r="AI836" s="121">
        <f>SUM(Z837:Z842)</f>
        <v>0</v>
      </c>
      <c r="AJ836" s="121">
        <f>SUM(AA837:AA842)</f>
        <v>0</v>
      </c>
    </row>
    <row r="837" spans="1:31" s="90" customFormat="1" ht="11.25">
      <c r="A837" s="122" t="s">
        <v>659</v>
      </c>
      <c r="B837" s="122" t="s">
        <v>1727</v>
      </c>
      <c r="C837" s="122" t="s">
        <v>2934</v>
      </c>
      <c r="D837" s="122" t="s">
        <v>3459</v>
      </c>
      <c r="E837" s="123">
        <v>286.2</v>
      </c>
      <c r="F837" s="123">
        <v>0</v>
      </c>
      <c r="G837" s="123">
        <f aca="true" t="shared" si="254" ref="G837:G842">ROUND(E837*AD837,2)</f>
        <v>0</v>
      </c>
      <c r="H837" s="123">
        <f aca="true" t="shared" si="255" ref="H837:H842">I837-G837</f>
        <v>0</v>
      </c>
      <c r="I837" s="123">
        <f aca="true" t="shared" si="256" ref="I837:I842">ROUND(E837*F837,2)</f>
        <v>0</v>
      </c>
      <c r="J837" s="123">
        <v>0.01838</v>
      </c>
      <c r="K837" s="123">
        <f aca="true" t="shared" si="257" ref="K837:K842">E837*J837</f>
        <v>5.260356</v>
      </c>
      <c r="M837" s="124" t="s">
        <v>7</v>
      </c>
      <c r="N837" s="123">
        <f aca="true" t="shared" si="258" ref="N837:N842">IF(M837="5",H837,0)</f>
        <v>0</v>
      </c>
      <c r="Y837" s="123">
        <f aca="true" t="shared" si="259" ref="Y837:Y842">IF(AC837=0,I837,0)</f>
        <v>0</v>
      </c>
      <c r="Z837" s="123">
        <f aca="true" t="shared" si="260" ref="Z837:Z842">IF(AC837=14,I837,0)</f>
        <v>0</v>
      </c>
      <c r="AA837" s="123">
        <f aca="true" t="shared" si="261" ref="AA837:AA842">IF(AC837=20,I837,0)</f>
        <v>0</v>
      </c>
      <c r="AC837" s="125">
        <v>20</v>
      </c>
      <c r="AD837" s="125">
        <f>F837*0.000240153698366955</f>
        <v>0</v>
      </c>
      <c r="AE837" s="125">
        <f>F837*(1-0.000240153698366955)</f>
        <v>0</v>
      </c>
    </row>
    <row r="838" spans="1:31" s="90" customFormat="1" ht="11.25">
      <c r="A838" s="122" t="s">
        <v>660</v>
      </c>
      <c r="B838" s="122" t="s">
        <v>1728</v>
      </c>
      <c r="C838" s="122" t="s">
        <v>2935</v>
      </c>
      <c r="D838" s="122" t="s">
        <v>3459</v>
      </c>
      <c r="E838" s="123">
        <v>286.2</v>
      </c>
      <c r="F838" s="123">
        <v>0</v>
      </c>
      <c r="G838" s="123">
        <f t="shared" si="254"/>
        <v>0</v>
      </c>
      <c r="H838" s="123">
        <f t="shared" si="255"/>
        <v>0</v>
      </c>
      <c r="I838" s="123">
        <f t="shared" si="256"/>
        <v>0</v>
      </c>
      <c r="J838" s="123">
        <v>0.00095</v>
      </c>
      <c r="K838" s="123">
        <f t="shared" si="257"/>
        <v>0.27188999999999997</v>
      </c>
      <c r="M838" s="124" t="s">
        <v>7</v>
      </c>
      <c r="N838" s="123">
        <f t="shared" si="258"/>
        <v>0</v>
      </c>
      <c r="Y838" s="123">
        <f t="shared" si="259"/>
        <v>0</v>
      </c>
      <c r="Z838" s="123">
        <f t="shared" si="260"/>
        <v>0</v>
      </c>
      <c r="AA838" s="123">
        <f t="shared" si="261"/>
        <v>0</v>
      </c>
      <c r="AC838" s="125">
        <v>20</v>
      </c>
      <c r="AD838" s="125">
        <f>F838*0.943428768540876</f>
        <v>0</v>
      </c>
      <c r="AE838" s="125">
        <f>F838*(1-0.943428768540876)</f>
        <v>0</v>
      </c>
    </row>
    <row r="839" spans="1:31" s="90" customFormat="1" ht="11.25">
      <c r="A839" s="122" t="s">
        <v>661</v>
      </c>
      <c r="B839" s="122" t="s">
        <v>1729</v>
      </c>
      <c r="C839" s="122" t="s">
        <v>2936</v>
      </c>
      <c r="D839" s="122" t="s">
        <v>3459</v>
      </c>
      <c r="E839" s="123">
        <v>286.2</v>
      </c>
      <c r="F839" s="123">
        <v>0</v>
      </c>
      <c r="G839" s="123">
        <f t="shared" si="254"/>
        <v>0</v>
      </c>
      <c r="H839" s="123">
        <f t="shared" si="255"/>
        <v>0</v>
      </c>
      <c r="I839" s="123">
        <f t="shared" si="256"/>
        <v>0</v>
      </c>
      <c r="J839" s="123">
        <v>0</v>
      </c>
      <c r="K839" s="123">
        <f t="shared" si="257"/>
        <v>0</v>
      </c>
      <c r="M839" s="124" t="s">
        <v>7</v>
      </c>
      <c r="N839" s="123">
        <f t="shared" si="258"/>
        <v>0</v>
      </c>
      <c r="Y839" s="123">
        <f t="shared" si="259"/>
        <v>0</v>
      </c>
      <c r="Z839" s="123">
        <f t="shared" si="260"/>
        <v>0</v>
      </c>
      <c r="AA839" s="123">
        <f t="shared" si="261"/>
        <v>0</v>
      </c>
      <c r="AC839" s="125">
        <v>20</v>
      </c>
      <c r="AD839" s="125">
        <f>F839*0</f>
        <v>0</v>
      </c>
      <c r="AE839" s="125">
        <f>F839*(1-0)</f>
        <v>0</v>
      </c>
    </row>
    <row r="840" spans="1:31" s="90" customFormat="1" ht="11.25">
      <c r="A840" s="122" t="s">
        <v>662</v>
      </c>
      <c r="B840" s="122" t="s">
        <v>1730</v>
      </c>
      <c r="C840" s="122" t="s">
        <v>2937</v>
      </c>
      <c r="D840" s="122" t="s">
        <v>3459</v>
      </c>
      <c r="E840" s="123">
        <v>975</v>
      </c>
      <c r="F840" s="123">
        <v>0</v>
      </c>
      <c r="G840" s="123">
        <f t="shared" si="254"/>
        <v>0</v>
      </c>
      <c r="H840" s="123">
        <f t="shared" si="255"/>
        <v>0</v>
      </c>
      <c r="I840" s="123">
        <f t="shared" si="256"/>
        <v>0</v>
      </c>
      <c r="J840" s="123">
        <v>0.00592</v>
      </c>
      <c r="K840" s="123">
        <f t="shared" si="257"/>
        <v>5.772</v>
      </c>
      <c r="M840" s="124" t="s">
        <v>7</v>
      </c>
      <c r="N840" s="123">
        <f t="shared" si="258"/>
        <v>0</v>
      </c>
      <c r="Y840" s="123">
        <f t="shared" si="259"/>
        <v>0</v>
      </c>
      <c r="Z840" s="123">
        <f t="shared" si="260"/>
        <v>0</v>
      </c>
      <c r="AA840" s="123">
        <f t="shared" si="261"/>
        <v>0</v>
      </c>
      <c r="AC840" s="125">
        <v>20</v>
      </c>
      <c r="AD840" s="125">
        <f>F840*0.51748123741534</f>
        <v>0</v>
      </c>
      <c r="AE840" s="125">
        <f>F840*(1-0.51748123741534)</f>
        <v>0</v>
      </c>
    </row>
    <row r="841" spans="1:31" s="90" customFormat="1" ht="11.25">
      <c r="A841" s="122" t="s">
        <v>663</v>
      </c>
      <c r="B841" s="122" t="s">
        <v>1731</v>
      </c>
      <c r="C841" s="122" t="s">
        <v>2938</v>
      </c>
      <c r="D841" s="122" t="s">
        <v>3459</v>
      </c>
      <c r="E841" s="123">
        <v>105</v>
      </c>
      <c r="F841" s="123">
        <v>0</v>
      </c>
      <c r="G841" s="123">
        <f t="shared" si="254"/>
        <v>0</v>
      </c>
      <c r="H841" s="123">
        <f t="shared" si="255"/>
        <v>0</v>
      </c>
      <c r="I841" s="123">
        <f t="shared" si="256"/>
        <v>0</v>
      </c>
      <c r="J841" s="123">
        <v>0.00586</v>
      </c>
      <c r="K841" s="123">
        <f t="shared" si="257"/>
        <v>0.6153</v>
      </c>
      <c r="M841" s="124" t="s">
        <v>7</v>
      </c>
      <c r="N841" s="123">
        <f t="shared" si="258"/>
        <v>0</v>
      </c>
      <c r="Y841" s="123">
        <f t="shared" si="259"/>
        <v>0</v>
      </c>
      <c r="Z841" s="123">
        <f t="shared" si="260"/>
        <v>0</v>
      </c>
      <c r="AA841" s="123">
        <f t="shared" si="261"/>
        <v>0</v>
      </c>
      <c r="AC841" s="125">
        <v>20</v>
      </c>
      <c r="AD841" s="125">
        <f>F841*0.509381947532237</f>
        <v>0</v>
      </c>
      <c r="AE841" s="125">
        <f>F841*(1-0.509381947532237)</f>
        <v>0</v>
      </c>
    </row>
    <row r="842" spans="1:31" s="90" customFormat="1" ht="11.25">
      <c r="A842" s="122" t="s">
        <v>664</v>
      </c>
      <c r="B842" s="122" t="s">
        <v>1139</v>
      </c>
      <c r="C842" s="122" t="s">
        <v>2197</v>
      </c>
      <c r="D842" s="122" t="s">
        <v>3460</v>
      </c>
      <c r="E842" s="123">
        <v>11.91955</v>
      </c>
      <c r="F842" s="123">
        <v>0</v>
      </c>
      <c r="G842" s="123">
        <f t="shared" si="254"/>
        <v>0</v>
      </c>
      <c r="H842" s="123">
        <f t="shared" si="255"/>
        <v>0</v>
      </c>
      <c r="I842" s="123">
        <f t="shared" si="256"/>
        <v>0</v>
      </c>
      <c r="J842" s="123">
        <v>0</v>
      </c>
      <c r="K842" s="123">
        <f t="shared" si="257"/>
        <v>0</v>
      </c>
      <c r="M842" s="124" t="s">
        <v>11</v>
      </c>
      <c r="N842" s="123">
        <f t="shared" si="258"/>
        <v>0</v>
      </c>
      <c r="Y842" s="123">
        <f t="shared" si="259"/>
        <v>0</v>
      </c>
      <c r="Z842" s="123">
        <f t="shared" si="260"/>
        <v>0</v>
      </c>
      <c r="AA842" s="123">
        <f t="shared" si="261"/>
        <v>0</v>
      </c>
      <c r="AC842" s="125">
        <v>20</v>
      </c>
      <c r="AD842" s="125">
        <f>F842*0</f>
        <v>0</v>
      </c>
      <c r="AE842" s="125">
        <f>F842*(1-0)</f>
        <v>0</v>
      </c>
    </row>
    <row r="843" spans="1:36" s="90" customFormat="1" ht="11.25">
      <c r="A843" s="127"/>
      <c r="B843" s="128" t="s">
        <v>101</v>
      </c>
      <c r="C843" s="129" t="s">
        <v>2939</v>
      </c>
      <c r="D843" s="130"/>
      <c r="E843" s="130"/>
      <c r="F843" s="130"/>
      <c r="G843" s="121">
        <f>SUM(G844:G863)</f>
        <v>0</v>
      </c>
      <c r="H843" s="121">
        <f>SUM(H844:H863)</f>
        <v>0</v>
      </c>
      <c r="I843" s="121">
        <f>G843+H843</f>
        <v>0</v>
      </c>
      <c r="J843" s="114"/>
      <c r="K843" s="121">
        <f>SUM(K844:K863)</f>
        <v>1.462156</v>
      </c>
      <c r="O843" s="121">
        <f>IF(P843="PR",I843,SUM(N844:N863))</f>
        <v>0</v>
      </c>
      <c r="P843" s="114" t="s">
        <v>3489</v>
      </c>
      <c r="Q843" s="121">
        <f>IF(P843="HS",G843,0)</f>
        <v>0</v>
      </c>
      <c r="R843" s="121">
        <f>IF(P843="HS",H843-O843,0)</f>
        <v>0</v>
      </c>
      <c r="S843" s="121">
        <f>IF(P843="PS",G843,0)</f>
        <v>0</v>
      </c>
      <c r="T843" s="121">
        <f>IF(P843="PS",H843-O843,0)</f>
        <v>0</v>
      </c>
      <c r="U843" s="121">
        <f>IF(P843="MP",G843,0)</f>
        <v>0</v>
      </c>
      <c r="V843" s="121">
        <f>IF(P843="MP",H843-O843,0)</f>
        <v>0</v>
      </c>
      <c r="W843" s="121">
        <f>IF(P843="OM",G843,0)</f>
        <v>0</v>
      </c>
      <c r="X843" s="114"/>
      <c r="AH843" s="121">
        <f>SUM(Y844:Y863)</f>
        <v>0</v>
      </c>
      <c r="AI843" s="121">
        <f>SUM(Z844:Z863)</f>
        <v>0</v>
      </c>
      <c r="AJ843" s="121">
        <f>SUM(AA844:AA863)</f>
        <v>0</v>
      </c>
    </row>
    <row r="844" spans="1:31" s="90" customFormat="1" ht="11.25">
      <c r="A844" s="122" t="s">
        <v>665</v>
      </c>
      <c r="B844" s="122" t="s">
        <v>1732</v>
      </c>
      <c r="C844" s="122" t="s">
        <v>2940</v>
      </c>
      <c r="D844" s="122" t="s">
        <v>3455</v>
      </c>
      <c r="E844" s="123">
        <v>22</v>
      </c>
      <c r="F844" s="123">
        <v>0</v>
      </c>
      <c r="G844" s="123">
        <f aca="true" t="shared" si="262" ref="G844:G854">ROUND(E844*AD844,2)</f>
        <v>0</v>
      </c>
      <c r="H844" s="123">
        <f aca="true" t="shared" si="263" ref="H844:H854">I844-G844</f>
        <v>0</v>
      </c>
      <c r="I844" s="123">
        <f aca="true" t="shared" si="264" ref="I844:I854">ROUND(E844*F844,2)</f>
        <v>0</v>
      </c>
      <c r="J844" s="123">
        <v>0</v>
      </c>
      <c r="K844" s="123">
        <f aca="true" t="shared" si="265" ref="K844:K854">E844*J844</f>
        <v>0</v>
      </c>
      <c r="M844" s="124" t="s">
        <v>7</v>
      </c>
      <c r="N844" s="123">
        <f aca="true" t="shared" si="266" ref="N844:N854">IF(M844="5",H844,0)</f>
        <v>0</v>
      </c>
      <c r="Y844" s="123">
        <f aca="true" t="shared" si="267" ref="Y844:Y854">IF(AC844=0,I844,0)</f>
        <v>0</v>
      </c>
      <c r="Z844" s="123">
        <f aca="true" t="shared" si="268" ref="Z844:Z854">IF(AC844=14,I844,0)</f>
        <v>0</v>
      </c>
      <c r="AA844" s="123">
        <f aca="true" t="shared" si="269" ref="AA844:AA854">IF(AC844=20,I844,0)</f>
        <v>0</v>
      </c>
      <c r="AC844" s="125">
        <v>20</v>
      </c>
      <c r="AD844" s="125">
        <f>F844*0</f>
        <v>0</v>
      </c>
      <c r="AE844" s="125">
        <f>F844*(1-0)</f>
        <v>0</v>
      </c>
    </row>
    <row r="845" spans="1:31" s="90" customFormat="1" ht="11.25">
      <c r="A845" s="131" t="s">
        <v>666</v>
      </c>
      <c r="B845" s="131" t="s">
        <v>1733</v>
      </c>
      <c r="C845" s="131" t="s">
        <v>2941</v>
      </c>
      <c r="D845" s="131" t="s">
        <v>3461</v>
      </c>
      <c r="E845" s="132">
        <v>0.05</v>
      </c>
      <c r="F845" s="132">
        <v>0</v>
      </c>
      <c r="G845" s="132">
        <f t="shared" si="262"/>
        <v>0</v>
      </c>
      <c r="H845" s="132">
        <f t="shared" si="263"/>
        <v>0</v>
      </c>
      <c r="I845" s="132">
        <f t="shared" si="264"/>
        <v>0</v>
      </c>
      <c r="J845" s="132">
        <v>1</v>
      </c>
      <c r="K845" s="132">
        <f t="shared" si="265"/>
        <v>0.05</v>
      </c>
      <c r="M845" s="133" t="s">
        <v>1101</v>
      </c>
      <c r="N845" s="132">
        <f t="shared" si="266"/>
        <v>0</v>
      </c>
      <c r="Y845" s="132">
        <f t="shared" si="267"/>
        <v>0</v>
      </c>
      <c r="Z845" s="132">
        <f t="shared" si="268"/>
        <v>0</v>
      </c>
      <c r="AA845" s="132">
        <f t="shared" si="269"/>
        <v>0</v>
      </c>
      <c r="AC845" s="125">
        <v>20</v>
      </c>
      <c r="AD845" s="125">
        <f aca="true" t="shared" si="270" ref="AD845:AD853">F845*1</f>
        <v>0</v>
      </c>
      <c r="AE845" s="125">
        <f aca="true" t="shared" si="271" ref="AE845:AE853">F845*(1-1)</f>
        <v>0</v>
      </c>
    </row>
    <row r="846" spans="1:31" s="90" customFormat="1" ht="11.25">
      <c r="A846" s="131" t="s">
        <v>667</v>
      </c>
      <c r="B846" s="131" t="s">
        <v>1734</v>
      </c>
      <c r="C846" s="131" t="s">
        <v>2942</v>
      </c>
      <c r="D846" s="131" t="s">
        <v>3461</v>
      </c>
      <c r="E846" s="132">
        <v>0.21</v>
      </c>
      <c r="F846" s="132">
        <v>0</v>
      </c>
      <c r="G846" s="132">
        <f t="shared" si="262"/>
        <v>0</v>
      </c>
      <c r="H846" s="132">
        <f t="shared" si="263"/>
        <v>0</v>
      </c>
      <c r="I846" s="132">
        <f t="shared" si="264"/>
        <v>0</v>
      </c>
      <c r="J846" s="132">
        <v>1</v>
      </c>
      <c r="K846" s="132">
        <f t="shared" si="265"/>
        <v>0.21</v>
      </c>
      <c r="M846" s="133" t="s">
        <v>1101</v>
      </c>
      <c r="N846" s="132">
        <f t="shared" si="266"/>
        <v>0</v>
      </c>
      <c r="Y846" s="132">
        <f t="shared" si="267"/>
        <v>0</v>
      </c>
      <c r="Z846" s="132">
        <f t="shared" si="268"/>
        <v>0</v>
      </c>
      <c r="AA846" s="132">
        <f t="shared" si="269"/>
        <v>0</v>
      </c>
      <c r="AC846" s="125">
        <v>20</v>
      </c>
      <c r="AD846" s="125">
        <f t="shared" si="270"/>
        <v>0</v>
      </c>
      <c r="AE846" s="125">
        <f t="shared" si="271"/>
        <v>0</v>
      </c>
    </row>
    <row r="847" spans="1:31" s="90" customFormat="1" ht="11.25">
      <c r="A847" s="131" t="s">
        <v>668</v>
      </c>
      <c r="B847" s="131" t="s">
        <v>1735</v>
      </c>
      <c r="C847" s="131" t="s">
        <v>2943</v>
      </c>
      <c r="D847" s="131" t="s">
        <v>3455</v>
      </c>
      <c r="E847" s="132">
        <v>29</v>
      </c>
      <c r="F847" s="132">
        <v>0</v>
      </c>
      <c r="G847" s="132">
        <f t="shared" si="262"/>
        <v>0</v>
      </c>
      <c r="H847" s="132">
        <f t="shared" si="263"/>
        <v>0</v>
      </c>
      <c r="I847" s="132">
        <f t="shared" si="264"/>
        <v>0</v>
      </c>
      <c r="J847" s="132">
        <v>0.00035</v>
      </c>
      <c r="K847" s="132">
        <f t="shared" si="265"/>
        <v>0.01015</v>
      </c>
      <c r="M847" s="133" t="s">
        <v>1101</v>
      </c>
      <c r="N847" s="132">
        <f t="shared" si="266"/>
        <v>0</v>
      </c>
      <c r="Y847" s="132">
        <f t="shared" si="267"/>
        <v>0</v>
      </c>
      <c r="Z847" s="132">
        <f t="shared" si="268"/>
        <v>0</v>
      </c>
      <c r="AA847" s="132">
        <f t="shared" si="269"/>
        <v>0</v>
      </c>
      <c r="AC847" s="125">
        <v>20</v>
      </c>
      <c r="AD847" s="125">
        <f t="shared" si="270"/>
        <v>0</v>
      </c>
      <c r="AE847" s="125">
        <f t="shared" si="271"/>
        <v>0</v>
      </c>
    </row>
    <row r="848" spans="1:31" s="90" customFormat="1" ht="11.25">
      <c r="A848" s="131" t="s">
        <v>669</v>
      </c>
      <c r="B848" s="131" t="s">
        <v>1736</v>
      </c>
      <c r="C848" s="131" t="s">
        <v>2944</v>
      </c>
      <c r="D848" s="131" t="s">
        <v>3455</v>
      </c>
      <c r="E848" s="132">
        <v>22</v>
      </c>
      <c r="F848" s="132">
        <v>0</v>
      </c>
      <c r="G848" s="132">
        <f t="shared" si="262"/>
        <v>0</v>
      </c>
      <c r="H848" s="132">
        <f t="shared" si="263"/>
        <v>0</v>
      </c>
      <c r="I848" s="132">
        <f t="shared" si="264"/>
        <v>0</v>
      </c>
      <c r="J848" s="132">
        <v>0.015</v>
      </c>
      <c r="K848" s="132">
        <f t="shared" si="265"/>
        <v>0.32999999999999996</v>
      </c>
      <c r="M848" s="133" t="s">
        <v>1101</v>
      </c>
      <c r="N848" s="132">
        <f t="shared" si="266"/>
        <v>0</v>
      </c>
      <c r="Y848" s="132">
        <f t="shared" si="267"/>
        <v>0</v>
      </c>
      <c r="Z848" s="132">
        <f t="shared" si="268"/>
        <v>0</v>
      </c>
      <c r="AA848" s="132">
        <f t="shared" si="269"/>
        <v>0</v>
      </c>
      <c r="AC848" s="125">
        <v>20</v>
      </c>
      <c r="AD848" s="125">
        <f t="shared" si="270"/>
        <v>0</v>
      </c>
      <c r="AE848" s="125">
        <f t="shared" si="271"/>
        <v>0</v>
      </c>
    </row>
    <row r="849" spans="1:31" s="90" customFormat="1" ht="11.25">
      <c r="A849" s="131" t="s">
        <v>670</v>
      </c>
      <c r="B849" s="131" t="s">
        <v>1737</v>
      </c>
      <c r="C849" s="131" t="s">
        <v>2945</v>
      </c>
      <c r="D849" s="131" t="s">
        <v>3456</v>
      </c>
      <c r="E849" s="132">
        <v>2</v>
      </c>
      <c r="F849" s="132">
        <v>0</v>
      </c>
      <c r="G849" s="132">
        <f t="shared" si="262"/>
        <v>0</v>
      </c>
      <c r="H849" s="132">
        <f t="shared" si="263"/>
        <v>0</v>
      </c>
      <c r="I849" s="132">
        <f t="shared" si="264"/>
        <v>0</v>
      </c>
      <c r="J849" s="132">
        <v>0.0156</v>
      </c>
      <c r="K849" s="132">
        <f t="shared" si="265"/>
        <v>0.0312</v>
      </c>
      <c r="M849" s="133" t="s">
        <v>1101</v>
      </c>
      <c r="N849" s="132">
        <f t="shared" si="266"/>
        <v>0</v>
      </c>
      <c r="Y849" s="132">
        <f t="shared" si="267"/>
        <v>0</v>
      </c>
      <c r="Z849" s="132">
        <f t="shared" si="268"/>
        <v>0</v>
      </c>
      <c r="AA849" s="132">
        <f t="shared" si="269"/>
        <v>0</v>
      </c>
      <c r="AC849" s="125">
        <v>20</v>
      </c>
      <c r="AD849" s="125">
        <f t="shared" si="270"/>
        <v>0</v>
      </c>
      <c r="AE849" s="125">
        <f t="shared" si="271"/>
        <v>0</v>
      </c>
    </row>
    <row r="850" spans="1:31" s="90" customFormat="1" ht="11.25">
      <c r="A850" s="131" t="s">
        <v>671</v>
      </c>
      <c r="B850" s="131" t="s">
        <v>1738</v>
      </c>
      <c r="C850" s="131" t="s">
        <v>2946</v>
      </c>
      <c r="D850" s="131" t="s">
        <v>3456</v>
      </c>
      <c r="E850" s="132">
        <v>1</v>
      </c>
      <c r="F850" s="132">
        <v>0</v>
      </c>
      <c r="G850" s="132">
        <f t="shared" si="262"/>
        <v>0</v>
      </c>
      <c r="H850" s="132">
        <f t="shared" si="263"/>
        <v>0</v>
      </c>
      <c r="I850" s="132">
        <f t="shared" si="264"/>
        <v>0</v>
      </c>
      <c r="J850" s="132">
        <v>0.06</v>
      </c>
      <c r="K850" s="132">
        <f t="shared" si="265"/>
        <v>0.06</v>
      </c>
      <c r="M850" s="133" t="s">
        <v>1101</v>
      </c>
      <c r="N850" s="132">
        <f t="shared" si="266"/>
        <v>0</v>
      </c>
      <c r="Y850" s="132">
        <f t="shared" si="267"/>
        <v>0</v>
      </c>
      <c r="Z850" s="132">
        <f t="shared" si="268"/>
        <v>0</v>
      </c>
      <c r="AA850" s="132">
        <f t="shared" si="269"/>
        <v>0</v>
      </c>
      <c r="AC850" s="125">
        <v>20</v>
      </c>
      <c r="AD850" s="125">
        <f t="shared" si="270"/>
        <v>0</v>
      </c>
      <c r="AE850" s="125">
        <f t="shared" si="271"/>
        <v>0</v>
      </c>
    </row>
    <row r="851" spans="1:31" s="90" customFormat="1" ht="11.25">
      <c r="A851" s="131" t="s">
        <v>672</v>
      </c>
      <c r="B851" s="131" t="s">
        <v>1739</v>
      </c>
      <c r="C851" s="131" t="s">
        <v>2947</v>
      </c>
      <c r="D851" s="131" t="s">
        <v>3459</v>
      </c>
      <c r="E851" s="132">
        <v>1.44</v>
      </c>
      <c r="F851" s="132">
        <v>0</v>
      </c>
      <c r="G851" s="132">
        <f t="shared" si="262"/>
        <v>0</v>
      </c>
      <c r="H851" s="132">
        <f t="shared" si="263"/>
        <v>0</v>
      </c>
      <c r="I851" s="132">
        <f t="shared" si="264"/>
        <v>0</v>
      </c>
      <c r="J851" s="132">
        <v>0.01</v>
      </c>
      <c r="K851" s="132">
        <f t="shared" si="265"/>
        <v>0.0144</v>
      </c>
      <c r="M851" s="133" t="s">
        <v>1101</v>
      </c>
      <c r="N851" s="132">
        <f t="shared" si="266"/>
        <v>0</v>
      </c>
      <c r="Y851" s="132">
        <f t="shared" si="267"/>
        <v>0</v>
      </c>
      <c r="Z851" s="132">
        <f t="shared" si="268"/>
        <v>0</v>
      </c>
      <c r="AA851" s="132">
        <f t="shared" si="269"/>
        <v>0</v>
      </c>
      <c r="AC851" s="125">
        <v>20</v>
      </c>
      <c r="AD851" s="125">
        <f t="shared" si="270"/>
        <v>0</v>
      </c>
      <c r="AE851" s="125">
        <f t="shared" si="271"/>
        <v>0</v>
      </c>
    </row>
    <row r="852" spans="1:31" s="90" customFormat="1" ht="11.25">
      <c r="A852" s="131" t="s">
        <v>673</v>
      </c>
      <c r="B852" s="131" t="s">
        <v>1740</v>
      </c>
      <c r="C852" s="131" t="s">
        <v>2948</v>
      </c>
      <c r="D852" s="131" t="s">
        <v>3456</v>
      </c>
      <c r="E852" s="132">
        <v>3</v>
      </c>
      <c r="F852" s="132">
        <v>0</v>
      </c>
      <c r="G852" s="132">
        <f t="shared" si="262"/>
        <v>0</v>
      </c>
      <c r="H852" s="132">
        <f t="shared" si="263"/>
        <v>0</v>
      </c>
      <c r="I852" s="132">
        <f t="shared" si="264"/>
        <v>0</v>
      </c>
      <c r="J852" s="132">
        <v>0.0032</v>
      </c>
      <c r="K852" s="132">
        <f t="shared" si="265"/>
        <v>0.009600000000000001</v>
      </c>
      <c r="M852" s="133" t="s">
        <v>1101</v>
      </c>
      <c r="N852" s="132">
        <f t="shared" si="266"/>
        <v>0</v>
      </c>
      <c r="Y852" s="132">
        <f t="shared" si="267"/>
        <v>0</v>
      </c>
      <c r="Z852" s="132">
        <f t="shared" si="268"/>
        <v>0</v>
      </c>
      <c r="AA852" s="132">
        <f t="shared" si="269"/>
        <v>0</v>
      </c>
      <c r="AC852" s="125">
        <v>20</v>
      </c>
      <c r="AD852" s="125">
        <f t="shared" si="270"/>
        <v>0</v>
      </c>
      <c r="AE852" s="125">
        <f t="shared" si="271"/>
        <v>0</v>
      </c>
    </row>
    <row r="853" spans="1:31" s="90" customFormat="1" ht="11.25">
      <c r="A853" s="131" t="s">
        <v>674</v>
      </c>
      <c r="B853" s="131" t="s">
        <v>1741</v>
      </c>
      <c r="C853" s="131" t="s">
        <v>2949</v>
      </c>
      <c r="D853" s="131" t="s">
        <v>3456</v>
      </c>
      <c r="E853" s="132">
        <v>6</v>
      </c>
      <c r="F853" s="132">
        <v>0</v>
      </c>
      <c r="G853" s="132">
        <f t="shared" si="262"/>
        <v>0</v>
      </c>
      <c r="H853" s="132">
        <f t="shared" si="263"/>
        <v>0</v>
      </c>
      <c r="I853" s="132">
        <f t="shared" si="264"/>
        <v>0</v>
      </c>
      <c r="J853" s="132">
        <v>0.0016</v>
      </c>
      <c r="K853" s="132">
        <f t="shared" si="265"/>
        <v>0.009600000000000001</v>
      </c>
      <c r="M853" s="133" t="s">
        <v>1101</v>
      </c>
      <c r="N853" s="132">
        <f t="shared" si="266"/>
        <v>0</v>
      </c>
      <c r="Y853" s="132">
        <f t="shared" si="267"/>
        <v>0</v>
      </c>
      <c r="Z853" s="132">
        <f t="shared" si="268"/>
        <v>0</v>
      </c>
      <c r="AA853" s="132">
        <f t="shared" si="269"/>
        <v>0</v>
      </c>
      <c r="AC853" s="125">
        <v>20</v>
      </c>
      <c r="AD853" s="125">
        <f t="shared" si="270"/>
        <v>0</v>
      </c>
      <c r="AE853" s="125">
        <f t="shared" si="271"/>
        <v>0</v>
      </c>
    </row>
    <row r="854" spans="1:31" s="90" customFormat="1" ht="11.25">
      <c r="A854" s="122" t="s">
        <v>675</v>
      </c>
      <c r="B854" s="122" t="s">
        <v>1742</v>
      </c>
      <c r="C854" s="122" t="s">
        <v>2950</v>
      </c>
      <c r="D854" s="122" t="s">
        <v>3456</v>
      </c>
      <c r="E854" s="123">
        <v>4</v>
      </c>
      <c r="F854" s="123">
        <v>0</v>
      </c>
      <c r="G854" s="123">
        <f t="shared" si="262"/>
        <v>0</v>
      </c>
      <c r="H854" s="123">
        <f t="shared" si="263"/>
        <v>0</v>
      </c>
      <c r="I854" s="123">
        <f t="shared" si="264"/>
        <v>0</v>
      </c>
      <c r="J854" s="123">
        <v>0.0014</v>
      </c>
      <c r="K854" s="123">
        <f t="shared" si="265"/>
        <v>0.0056</v>
      </c>
      <c r="M854" s="124" t="s">
        <v>7</v>
      </c>
      <c r="N854" s="123">
        <f t="shared" si="266"/>
        <v>0</v>
      </c>
      <c r="Y854" s="123">
        <f t="shared" si="267"/>
        <v>0</v>
      </c>
      <c r="Z854" s="123">
        <f t="shared" si="268"/>
        <v>0</v>
      </c>
      <c r="AA854" s="123">
        <f t="shared" si="269"/>
        <v>0</v>
      </c>
      <c r="AC854" s="125">
        <v>20</v>
      </c>
      <c r="AD854" s="125">
        <f>F854*0.699501373766154</f>
        <v>0</v>
      </c>
      <c r="AE854" s="125">
        <f>F854*(1-0.699501373766154)</f>
        <v>0</v>
      </c>
    </row>
    <row r="855" s="90" customFormat="1" ht="11.25">
      <c r="C855" s="126" t="s">
        <v>2951</v>
      </c>
    </row>
    <row r="856" spans="1:31" s="90" customFormat="1" ht="11.25">
      <c r="A856" s="122" t="s">
        <v>676</v>
      </c>
      <c r="B856" s="122" t="s">
        <v>1743</v>
      </c>
      <c r="C856" s="122" t="s">
        <v>2952</v>
      </c>
      <c r="D856" s="122" t="s">
        <v>3459</v>
      </c>
      <c r="E856" s="123">
        <v>1376.15</v>
      </c>
      <c r="F856" s="123">
        <v>0</v>
      </c>
      <c r="G856" s="123">
        <f aca="true" t="shared" si="272" ref="G856:G863">ROUND(E856*AD856,2)</f>
        <v>0</v>
      </c>
      <c r="H856" s="123">
        <f aca="true" t="shared" si="273" ref="H856:H863">I856-G856</f>
        <v>0</v>
      </c>
      <c r="I856" s="123">
        <f aca="true" t="shared" si="274" ref="I856:I863">ROUND(E856*F856,2)</f>
        <v>0</v>
      </c>
      <c r="J856" s="123">
        <v>4E-05</v>
      </c>
      <c r="K856" s="123">
        <f aca="true" t="shared" si="275" ref="K856:K863">E856*J856</f>
        <v>0.05504600000000001</v>
      </c>
      <c r="M856" s="124" t="s">
        <v>7</v>
      </c>
      <c r="N856" s="123">
        <f aca="true" t="shared" si="276" ref="N856:N863">IF(M856="5",H856,0)</f>
        <v>0</v>
      </c>
      <c r="Y856" s="123">
        <f aca="true" t="shared" si="277" ref="Y856:Y863">IF(AC856=0,I856,0)</f>
        <v>0</v>
      </c>
      <c r="Z856" s="123">
        <f aca="true" t="shared" si="278" ref="Z856:Z863">IF(AC856=14,I856,0)</f>
        <v>0</v>
      </c>
      <c r="AA856" s="123">
        <f aca="true" t="shared" si="279" ref="AA856:AA863">IF(AC856=20,I856,0)</f>
        <v>0</v>
      </c>
      <c r="AC856" s="125">
        <v>20</v>
      </c>
      <c r="AD856" s="125">
        <f>F856*0.0165925419089976</f>
        <v>0</v>
      </c>
      <c r="AE856" s="125">
        <f>F856*(1-0.0165925419089976)</f>
        <v>0</v>
      </c>
    </row>
    <row r="857" spans="1:31" s="90" customFormat="1" ht="11.25">
      <c r="A857" s="122" t="s">
        <v>677</v>
      </c>
      <c r="B857" s="122" t="s">
        <v>1744</v>
      </c>
      <c r="C857" s="122" t="s">
        <v>2953</v>
      </c>
      <c r="D857" s="122" t="s">
        <v>3456</v>
      </c>
      <c r="E857" s="123">
        <v>1</v>
      </c>
      <c r="F857" s="123">
        <v>0</v>
      </c>
      <c r="G857" s="123">
        <f t="shared" si="272"/>
        <v>0</v>
      </c>
      <c r="H857" s="123">
        <f t="shared" si="273"/>
        <v>0</v>
      </c>
      <c r="I857" s="123">
        <f t="shared" si="274"/>
        <v>0</v>
      </c>
      <c r="J857" s="123">
        <v>0.00713</v>
      </c>
      <c r="K857" s="123">
        <f t="shared" si="275"/>
        <v>0.00713</v>
      </c>
      <c r="M857" s="124" t="s">
        <v>7</v>
      </c>
      <c r="N857" s="123">
        <f t="shared" si="276"/>
        <v>0</v>
      </c>
      <c r="Y857" s="123">
        <f t="shared" si="277"/>
        <v>0</v>
      </c>
      <c r="Z857" s="123">
        <f t="shared" si="278"/>
        <v>0</v>
      </c>
      <c r="AA857" s="123">
        <f t="shared" si="279"/>
        <v>0</v>
      </c>
      <c r="AC857" s="125">
        <v>20</v>
      </c>
      <c r="AD857" s="125">
        <f>F857*0.0392016376663255</f>
        <v>0</v>
      </c>
      <c r="AE857" s="125">
        <f>F857*(1-0.0392016376663255)</f>
        <v>0</v>
      </c>
    </row>
    <row r="858" spans="1:31" s="90" customFormat="1" ht="11.25">
      <c r="A858" s="122" t="s">
        <v>678</v>
      </c>
      <c r="B858" s="122" t="s">
        <v>1745</v>
      </c>
      <c r="C858" s="122" t="s">
        <v>2954</v>
      </c>
      <c r="D858" s="122" t="s">
        <v>3456</v>
      </c>
      <c r="E858" s="123">
        <v>27</v>
      </c>
      <c r="F858" s="123">
        <v>0</v>
      </c>
      <c r="G858" s="123">
        <f t="shared" si="272"/>
        <v>0</v>
      </c>
      <c r="H858" s="123">
        <f t="shared" si="273"/>
        <v>0</v>
      </c>
      <c r="I858" s="123">
        <f t="shared" si="274"/>
        <v>0</v>
      </c>
      <c r="J858" s="123">
        <v>0.00705</v>
      </c>
      <c r="K858" s="123">
        <f t="shared" si="275"/>
        <v>0.19035</v>
      </c>
      <c r="M858" s="124" t="s">
        <v>7</v>
      </c>
      <c r="N858" s="123">
        <f t="shared" si="276"/>
        <v>0</v>
      </c>
      <c r="Y858" s="123">
        <f t="shared" si="277"/>
        <v>0</v>
      </c>
      <c r="Z858" s="123">
        <f t="shared" si="278"/>
        <v>0</v>
      </c>
      <c r="AA858" s="123">
        <f t="shared" si="279"/>
        <v>0</v>
      </c>
      <c r="AC858" s="125">
        <v>20</v>
      </c>
      <c r="AD858" s="125">
        <f>F858*0.527942238267148</f>
        <v>0</v>
      </c>
      <c r="AE858" s="125">
        <f>F858*(1-0.527942238267148)</f>
        <v>0</v>
      </c>
    </row>
    <row r="859" spans="1:31" s="90" customFormat="1" ht="11.25">
      <c r="A859" s="122" t="s">
        <v>679</v>
      </c>
      <c r="B859" s="122" t="s">
        <v>1746</v>
      </c>
      <c r="C859" s="122" t="s">
        <v>2955</v>
      </c>
      <c r="D859" s="122" t="s">
        <v>3456</v>
      </c>
      <c r="E859" s="123">
        <v>2</v>
      </c>
      <c r="F859" s="123">
        <v>0</v>
      </c>
      <c r="G859" s="123">
        <f t="shared" si="272"/>
        <v>0</v>
      </c>
      <c r="H859" s="123">
        <f t="shared" si="273"/>
        <v>0</v>
      </c>
      <c r="I859" s="123">
        <f t="shared" si="274"/>
        <v>0</v>
      </c>
      <c r="J859" s="123">
        <v>0.04914</v>
      </c>
      <c r="K859" s="123">
        <f t="shared" si="275"/>
        <v>0.09828</v>
      </c>
      <c r="M859" s="124" t="s">
        <v>7</v>
      </c>
      <c r="N859" s="123">
        <f t="shared" si="276"/>
        <v>0</v>
      </c>
      <c r="Y859" s="123">
        <f t="shared" si="277"/>
        <v>0</v>
      </c>
      <c r="Z859" s="123">
        <f t="shared" si="278"/>
        <v>0</v>
      </c>
      <c r="AA859" s="123">
        <f t="shared" si="279"/>
        <v>0</v>
      </c>
      <c r="AC859" s="125">
        <v>20</v>
      </c>
      <c r="AD859" s="125">
        <f>F859*0.105653694404591</f>
        <v>0</v>
      </c>
      <c r="AE859" s="125">
        <f>F859*(1-0.105653694404591)</f>
        <v>0</v>
      </c>
    </row>
    <row r="860" spans="1:31" s="90" customFormat="1" ht="11.25">
      <c r="A860" s="122" t="s">
        <v>680</v>
      </c>
      <c r="B860" s="122" t="s">
        <v>1747</v>
      </c>
      <c r="C860" s="122" t="s">
        <v>2956</v>
      </c>
      <c r="D860" s="122" t="s">
        <v>3456</v>
      </c>
      <c r="E860" s="123">
        <v>26</v>
      </c>
      <c r="F860" s="123">
        <v>0</v>
      </c>
      <c r="G860" s="123">
        <f t="shared" si="272"/>
        <v>0</v>
      </c>
      <c r="H860" s="123">
        <f t="shared" si="273"/>
        <v>0</v>
      </c>
      <c r="I860" s="123">
        <f t="shared" si="274"/>
        <v>0</v>
      </c>
      <c r="J860" s="123">
        <v>0.00468</v>
      </c>
      <c r="K860" s="123">
        <f t="shared" si="275"/>
        <v>0.12168000000000001</v>
      </c>
      <c r="M860" s="124" t="s">
        <v>7</v>
      </c>
      <c r="N860" s="123">
        <f t="shared" si="276"/>
        <v>0</v>
      </c>
      <c r="Y860" s="123">
        <f t="shared" si="277"/>
        <v>0</v>
      </c>
      <c r="Z860" s="123">
        <f t="shared" si="278"/>
        <v>0</v>
      </c>
      <c r="AA860" s="123">
        <f t="shared" si="279"/>
        <v>0</v>
      </c>
      <c r="AC860" s="125">
        <v>20</v>
      </c>
      <c r="AD860" s="125">
        <f>F860*0.0687279963263432</f>
        <v>0</v>
      </c>
      <c r="AE860" s="125">
        <f>F860*(1-0.0687279963263432)</f>
        <v>0</v>
      </c>
    </row>
    <row r="861" spans="1:31" s="90" customFormat="1" ht="11.25">
      <c r="A861" s="122" t="s">
        <v>681</v>
      </c>
      <c r="B861" s="122" t="s">
        <v>1748</v>
      </c>
      <c r="C861" s="122" t="s">
        <v>2957</v>
      </c>
      <c r="D861" s="122" t="s">
        <v>3456</v>
      </c>
      <c r="E861" s="123">
        <v>9</v>
      </c>
      <c r="F861" s="123">
        <v>0</v>
      </c>
      <c r="G861" s="123">
        <f t="shared" si="272"/>
        <v>0</v>
      </c>
      <c r="H861" s="123">
        <f t="shared" si="273"/>
        <v>0</v>
      </c>
      <c r="I861" s="123">
        <f t="shared" si="274"/>
        <v>0</v>
      </c>
      <c r="J861" s="123">
        <v>0.02864</v>
      </c>
      <c r="K861" s="123">
        <f t="shared" si="275"/>
        <v>0.25776</v>
      </c>
      <c r="M861" s="124" t="s">
        <v>7</v>
      </c>
      <c r="N861" s="123">
        <f t="shared" si="276"/>
        <v>0</v>
      </c>
      <c r="Y861" s="123">
        <f t="shared" si="277"/>
        <v>0</v>
      </c>
      <c r="Z861" s="123">
        <f t="shared" si="278"/>
        <v>0</v>
      </c>
      <c r="AA861" s="123">
        <f t="shared" si="279"/>
        <v>0</v>
      </c>
      <c r="AC861" s="125">
        <v>20</v>
      </c>
      <c r="AD861" s="125">
        <f>F861*0.200291651476486</f>
        <v>0</v>
      </c>
      <c r="AE861" s="125">
        <f>F861*(1-0.200291651476486)</f>
        <v>0</v>
      </c>
    </row>
    <row r="862" spans="1:31" s="90" customFormat="1" ht="11.25">
      <c r="A862" s="122" t="s">
        <v>682</v>
      </c>
      <c r="B862" s="122" t="s">
        <v>1749</v>
      </c>
      <c r="C862" s="122" t="s">
        <v>2958</v>
      </c>
      <c r="D862" s="122" t="s">
        <v>3456</v>
      </c>
      <c r="E862" s="123">
        <v>2</v>
      </c>
      <c r="F862" s="123">
        <v>0</v>
      </c>
      <c r="G862" s="123">
        <f t="shared" si="272"/>
        <v>0</v>
      </c>
      <c r="H862" s="123">
        <f t="shared" si="273"/>
        <v>0</v>
      </c>
      <c r="I862" s="123">
        <f t="shared" si="274"/>
        <v>0</v>
      </c>
      <c r="J862" s="123">
        <v>0.00068</v>
      </c>
      <c r="K862" s="123">
        <f t="shared" si="275"/>
        <v>0.00136</v>
      </c>
      <c r="M862" s="124" t="s">
        <v>7</v>
      </c>
      <c r="N862" s="123">
        <f t="shared" si="276"/>
        <v>0</v>
      </c>
      <c r="Y862" s="123">
        <f t="shared" si="277"/>
        <v>0</v>
      </c>
      <c r="Z862" s="123">
        <f t="shared" si="278"/>
        <v>0</v>
      </c>
      <c r="AA862" s="123">
        <f t="shared" si="279"/>
        <v>0</v>
      </c>
      <c r="AC862" s="125">
        <v>20</v>
      </c>
      <c r="AD862" s="125">
        <f>F862*0.0660171703851226</f>
        <v>0</v>
      </c>
      <c r="AE862" s="125">
        <f>F862*(1-0.0660171703851226)</f>
        <v>0</v>
      </c>
    </row>
    <row r="863" spans="1:31" s="90" customFormat="1" ht="11.25">
      <c r="A863" s="122" t="s">
        <v>683</v>
      </c>
      <c r="B863" s="122" t="s">
        <v>1139</v>
      </c>
      <c r="C863" s="122" t="s">
        <v>2197</v>
      </c>
      <c r="D863" s="122" t="s">
        <v>3460</v>
      </c>
      <c r="E863" s="123">
        <v>1.46216</v>
      </c>
      <c r="F863" s="123">
        <v>0</v>
      </c>
      <c r="G863" s="123">
        <f t="shared" si="272"/>
        <v>0</v>
      </c>
      <c r="H863" s="123">
        <f t="shared" si="273"/>
        <v>0</v>
      </c>
      <c r="I863" s="123">
        <f t="shared" si="274"/>
        <v>0</v>
      </c>
      <c r="J863" s="123">
        <v>0</v>
      </c>
      <c r="K863" s="123">
        <f t="shared" si="275"/>
        <v>0</v>
      </c>
      <c r="M863" s="124" t="s">
        <v>11</v>
      </c>
      <c r="N863" s="123">
        <f t="shared" si="276"/>
        <v>0</v>
      </c>
      <c r="Y863" s="123">
        <f t="shared" si="277"/>
        <v>0</v>
      </c>
      <c r="Z863" s="123">
        <f t="shared" si="278"/>
        <v>0</v>
      </c>
      <c r="AA863" s="123">
        <f t="shared" si="279"/>
        <v>0</v>
      </c>
      <c r="AC863" s="125">
        <v>20</v>
      </c>
      <c r="AD863" s="125">
        <f>F863*0</f>
        <v>0</v>
      </c>
      <c r="AE863" s="125">
        <f>F863*(1-0)</f>
        <v>0</v>
      </c>
    </row>
    <row r="864" spans="1:36" s="90" customFormat="1" ht="11.25">
      <c r="A864" s="127"/>
      <c r="B864" s="128" t="s">
        <v>102</v>
      </c>
      <c r="C864" s="129" t="s">
        <v>2959</v>
      </c>
      <c r="D864" s="130"/>
      <c r="E864" s="130"/>
      <c r="F864" s="130"/>
      <c r="G864" s="121">
        <f>SUM(G865:G879)</f>
        <v>0</v>
      </c>
      <c r="H864" s="121">
        <f>SUM(H865:H879)</f>
        <v>0</v>
      </c>
      <c r="I864" s="121">
        <f>G864+H864</f>
        <v>0</v>
      </c>
      <c r="J864" s="114"/>
      <c r="K864" s="121">
        <f>SUM(K865:K879)</f>
        <v>253.18170000000003</v>
      </c>
      <c r="O864" s="121">
        <f>IF(P864="PR",I864,SUM(N865:N879))</f>
        <v>0</v>
      </c>
      <c r="P864" s="114" t="s">
        <v>3489</v>
      </c>
      <c r="Q864" s="121">
        <f>IF(P864="HS",G864,0)</f>
        <v>0</v>
      </c>
      <c r="R864" s="121">
        <f>IF(P864="HS",H864-O864,0)</f>
        <v>0</v>
      </c>
      <c r="S864" s="121">
        <f>IF(P864="PS",G864,0)</f>
        <v>0</v>
      </c>
      <c r="T864" s="121">
        <f>IF(P864="PS",H864-O864,0)</f>
        <v>0</v>
      </c>
      <c r="U864" s="121">
        <f>IF(P864="MP",G864,0)</f>
        <v>0</v>
      </c>
      <c r="V864" s="121">
        <f>IF(P864="MP",H864-O864,0)</f>
        <v>0</v>
      </c>
      <c r="W864" s="121">
        <f>IF(P864="OM",G864,0)</f>
        <v>0</v>
      </c>
      <c r="X864" s="114"/>
      <c r="AH864" s="121">
        <f>SUM(Y865:Y879)</f>
        <v>0</v>
      </c>
      <c r="AI864" s="121">
        <f>SUM(Z865:Z879)</f>
        <v>0</v>
      </c>
      <c r="AJ864" s="121">
        <f>SUM(AA865:AA879)</f>
        <v>0</v>
      </c>
    </row>
    <row r="865" spans="1:31" s="90" customFormat="1" ht="11.25">
      <c r="A865" s="122" t="s">
        <v>684</v>
      </c>
      <c r="B865" s="122" t="s">
        <v>1750</v>
      </c>
      <c r="C865" s="122" t="s">
        <v>2960</v>
      </c>
      <c r="D865" s="122" t="s">
        <v>3459</v>
      </c>
      <c r="E865" s="123">
        <v>325</v>
      </c>
      <c r="F865" s="123">
        <v>0</v>
      </c>
      <c r="G865" s="123">
        <f>ROUND(E865*AD865,2)</f>
        <v>0</v>
      </c>
      <c r="H865" s="123">
        <f>I865-G865</f>
        <v>0</v>
      </c>
      <c r="I865" s="123">
        <f>ROUND(E865*F865,2)</f>
        <v>0</v>
      </c>
      <c r="J865" s="123">
        <v>0.408</v>
      </c>
      <c r="K865" s="123">
        <f>E865*J865</f>
        <v>132.6</v>
      </c>
      <c r="M865" s="124" t="s">
        <v>7</v>
      </c>
      <c r="N865" s="123">
        <f>IF(M865="5",H865,0)</f>
        <v>0</v>
      </c>
      <c r="Y865" s="123">
        <f>IF(AC865=0,I865,0)</f>
        <v>0</v>
      </c>
      <c r="Z865" s="123">
        <f>IF(AC865=14,I865,0)</f>
        <v>0</v>
      </c>
      <c r="AA865" s="123">
        <f>IF(AC865=20,I865,0)</f>
        <v>0</v>
      </c>
      <c r="AC865" s="125">
        <v>20</v>
      </c>
      <c r="AD865" s="125">
        <f>F865*0</f>
        <v>0</v>
      </c>
      <c r="AE865" s="125">
        <f>F865*(1-0)</f>
        <v>0</v>
      </c>
    </row>
    <row r="866" spans="1:31" s="90" customFormat="1" ht="11.25">
      <c r="A866" s="122" t="s">
        <v>685</v>
      </c>
      <c r="B866" s="122" t="s">
        <v>1751</v>
      </c>
      <c r="C866" s="122" t="s">
        <v>2961</v>
      </c>
      <c r="D866" s="122" t="s">
        <v>3455</v>
      </c>
      <c r="E866" s="123">
        <v>113</v>
      </c>
      <c r="F866" s="123">
        <v>0</v>
      </c>
      <c r="G866" s="123">
        <f>ROUND(E866*AD866,2)</f>
        <v>0</v>
      </c>
      <c r="H866" s="123">
        <f>I866-G866</f>
        <v>0</v>
      </c>
      <c r="I866" s="123">
        <f>ROUND(E866*F866,2)</f>
        <v>0</v>
      </c>
      <c r="J866" s="123">
        <v>0</v>
      </c>
      <c r="K866" s="123">
        <f>E866*J866</f>
        <v>0</v>
      </c>
      <c r="M866" s="124" t="s">
        <v>8</v>
      </c>
      <c r="N866" s="123">
        <f>IF(M866="5",H866,0)</f>
        <v>0</v>
      </c>
      <c r="Y866" s="123">
        <f>IF(AC866=0,I866,0)</f>
        <v>0</v>
      </c>
      <c r="Z866" s="123">
        <f>IF(AC866=14,I866,0)</f>
        <v>0</v>
      </c>
      <c r="AA866" s="123">
        <f>IF(AC866=20,I866,0)</f>
        <v>0</v>
      </c>
      <c r="AC866" s="125">
        <v>20</v>
      </c>
      <c r="AD866" s="125">
        <f>F866*0.297441447012445</f>
        <v>0</v>
      </c>
      <c r="AE866" s="125">
        <f>F866*(1-0.297441447012445)</f>
        <v>0</v>
      </c>
    </row>
    <row r="867" s="90" customFormat="1" ht="11.25">
      <c r="C867" s="126" t="s">
        <v>2962</v>
      </c>
    </row>
    <row r="868" spans="1:31" s="90" customFormat="1" ht="11.25">
      <c r="A868" s="122" t="s">
        <v>686</v>
      </c>
      <c r="B868" s="122" t="s">
        <v>1752</v>
      </c>
      <c r="C868" s="122" t="s">
        <v>2963</v>
      </c>
      <c r="D868" s="122" t="s">
        <v>3459</v>
      </c>
      <c r="E868" s="123">
        <v>12</v>
      </c>
      <c r="F868" s="123">
        <v>0</v>
      </c>
      <c r="G868" s="123">
        <f aca="true" t="shared" si="280" ref="G868:G879">ROUND(E868*AD868,2)</f>
        <v>0</v>
      </c>
      <c r="H868" s="123">
        <f aca="true" t="shared" si="281" ref="H868:H879">I868-G868</f>
        <v>0</v>
      </c>
      <c r="I868" s="123">
        <f aca="true" t="shared" si="282" ref="I868:I879">ROUND(E868*F868,2)</f>
        <v>0</v>
      </c>
      <c r="J868" s="123">
        <v>0.007</v>
      </c>
      <c r="K868" s="123">
        <f aca="true" t="shared" si="283" ref="K868:K879">E868*J868</f>
        <v>0.084</v>
      </c>
      <c r="M868" s="124" t="s">
        <v>7</v>
      </c>
      <c r="N868" s="123">
        <f aca="true" t="shared" si="284" ref="N868:N879">IF(M868="5",H868,0)</f>
        <v>0</v>
      </c>
      <c r="Y868" s="123">
        <f aca="true" t="shared" si="285" ref="Y868:Y879">IF(AC868=0,I868,0)</f>
        <v>0</v>
      </c>
      <c r="Z868" s="123">
        <f aca="true" t="shared" si="286" ref="Z868:Z879">IF(AC868=14,I868,0)</f>
        <v>0</v>
      </c>
      <c r="AA868" s="123">
        <f aca="true" t="shared" si="287" ref="AA868:AA879">IF(AC868=20,I868,0)</f>
        <v>0</v>
      </c>
      <c r="AC868" s="125">
        <v>20</v>
      </c>
      <c r="AD868" s="125">
        <f>F868*0</f>
        <v>0</v>
      </c>
      <c r="AE868" s="125">
        <f>F868*(1-0)</f>
        <v>0</v>
      </c>
    </row>
    <row r="869" spans="1:31" s="90" customFormat="1" ht="11.25">
      <c r="A869" s="122" t="s">
        <v>687</v>
      </c>
      <c r="B869" s="122" t="s">
        <v>1753</v>
      </c>
      <c r="C869" s="122" t="s">
        <v>2964</v>
      </c>
      <c r="D869" s="122" t="s">
        <v>3459</v>
      </c>
      <c r="E869" s="123">
        <v>12</v>
      </c>
      <c r="F869" s="123">
        <v>0</v>
      </c>
      <c r="G869" s="123">
        <f t="shared" si="280"/>
        <v>0</v>
      </c>
      <c r="H869" s="123">
        <f t="shared" si="281"/>
        <v>0</v>
      </c>
      <c r="I869" s="123">
        <f t="shared" si="282"/>
        <v>0</v>
      </c>
      <c r="J869" s="123">
        <v>0.013</v>
      </c>
      <c r="K869" s="123">
        <f t="shared" si="283"/>
        <v>0.156</v>
      </c>
      <c r="M869" s="124" t="s">
        <v>7</v>
      </c>
      <c r="N869" s="123">
        <f t="shared" si="284"/>
        <v>0</v>
      </c>
      <c r="Y869" s="123">
        <f t="shared" si="285"/>
        <v>0</v>
      </c>
      <c r="Z869" s="123">
        <f t="shared" si="286"/>
        <v>0</v>
      </c>
      <c r="AA869" s="123">
        <f t="shared" si="287"/>
        <v>0</v>
      </c>
      <c r="AC869" s="125">
        <v>20</v>
      </c>
      <c r="AD869" s="125">
        <f>F869*0</f>
        <v>0</v>
      </c>
      <c r="AE869" s="125">
        <f>F869*(1-0)</f>
        <v>0</v>
      </c>
    </row>
    <row r="870" spans="1:31" s="90" customFormat="1" ht="11.25">
      <c r="A870" s="122" t="s">
        <v>688</v>
      </c>
      <c r="B870" s="122" t="s">
        <v>1754</v>
      </c>
      <c r="C870" s="122" t="s">
        <v>2965</v>
      </c>
      <c r="D870" s="122" t="s">
        <v>3459</v>
      </c>
      <c r="E870" s="123">
        <v>104</v>
      </c>
      <c r="F870" s="123">
        <v>0</v>
      </c>
      <c r="G870" s="123">
        <f t="shared" si="280"/>
        <v>0</v>
      </c>
      <c r="H870" s="123">
        <f t="shared" si="281"/>
        <v>0</v>
      </c>
      <c r="I870" s="123">
        <f t="shared" si="282"/>
        <v>0</v>
      </c>
      <c r="J870" s="123">
        <v>0.01098</v>
      </c>
      <c r="K870" s="123">
        <f t="shared" si="283"/>
        <v>1.14192</v>
      </c>
      <c r="M870" s="124" t="s">
        <v>7</v>
      </c>
      <c r="N870" s="123">
        <f t="shared" si="284"/>
        <v>0</v>
      </c>
      <c r="Y870" s="123">
        <f t="shared" si="285"/>
        <v>0</v>
      </c>
      <c r="Z870" s="123">
        <f t="shared" si="286"/>
        <v>0</v>
      </c>
      <c r="AA870" s="123">
        <f t="shared" si="287"/>
        <v>0</v>
      </c>
      <c r="AC870" s="125">
        <v>20</v>
      </c>
      <c r="AD870" s="125">
        <f>F870*0</f>
        <v>0</v>
      </c>
      <c r="AE870" s="125">
        <f>F870*(1-0)</f>
        <v>0</v>
      </c>
    </row>
    <row r="871" spans="1:31" s="90" customFormat="1" ht="11.25">
      <c r="A871" s="122" t="s">
        <v>689</v>
      </c>
      <c r="B871" s="122" t="s">
        <v>1755</v>
      </c>
      <c r="C871" s="122" t="s">
        <v>2966</v>
      </c>
      <c r="D871" s="122" t="s">
        <v>3458</v>
      </c>
      <c r="E871" s="123">
        <v>3.19</v>
      </c>
      <c r="F871" s="123">
        <v>0</v>
      </c>
      <c r="G871" s="123">
        <f t="shared" si="280"/>
        <v>0</v>
      </c>
      <c r="H871" s="123">
        <f t="shared" si="281"/>
        <v>0</v>
      </c>
      <c r="I871" s="123">
        <f t="shared" si="282"/>
        <v>0</v>
      </c>
      <c r="J871" s="123">
        <v>2.2</v>
      </c>
      <c r="K871" s="123">
        <f t="shared" si="283"/>
        <v>7.018000000000001</v>
      </c>
      <c r="M871" s="124" t="s">
        <v>7</v>
      </c>
      <c r="N871" s="123">
        <f t="shared" si="284"/>
        <v>0</v>
      </c>
      <c r="Y871" s="123">
        <f t="shared" si="285"/>
        <v>0</v>
      </c>
      <c r="Z871" s="123">
        <f t="shared" si="286"/>
        <v>0</v>
      </c>
      <c r="AA871" s="123">
        <f t="shared" si="287"/>
        <v>0</v>
      </c>
      <c r="AC871" s="125">
        <v>20</v>
      </c>
      <c r="AD871" s="125">
        <f>F871*0</f>
        <v>0</v>
      </c>
      <c r="AE871" s="125">
        <f>F871*(1-0)</f>
        <v>0</v>
      </c>
    </row>
    <row r="872" spans="1:31" s="90" customFormat="1" ht="11.25">
      <c r="A872" s="122" t="s">
        <v>690</v>
      </c>
      <c r="B872" s="122" t="s">
        <v>1756</v>
      </c>
      <c r="C872" s="122" t="s">
        <v>2967</v>
      </c>
      <c r="D872" s="122" t="s">
        <v>3456</v>
      </c>
      <c r="E872" s="123">
        <v>4</v>
      </c>
      <c r="F872" s="123">
        <v>0</v>
      </c>
      <c r="G872" s="123">
        <f t="shared" si="280"/>
        <v>0</v>
      </c>
      <c r="H872" s="123">
        <f t="shared" si="281"/>
        <v>0</v>
      </c>
      <c r="I872" s="123">
        <f t="shared" si="282"/>
        <v>0</v>
      </c>
      <c r="J872" s="123">
        <v>0</v>
      </c>
      <c r="K872" s="123">
        <f t="shared" si="283"/>
        <v>0</v>
      </c>
      <c r="M872" s="124" t="s">
        <v>7</v>
      </c>
      <c r="N872" s="123">
        <f t="shared" si="284"/>
        <v>0</v>
      </c>
      <c r="Y872" s="123">
        <f t="shared" si="285"/>
        <v>0</v>
      </c>
      <c r="Z872" s="123">
        <f t="shared" si="286"/>
        <v>0</v>
      </c>
      <c r="AA872" s="123">
        <f t="shared" si="287"/>
        <v>0</v>
      </c>
      <c r="AC872" s="125">
        <v>20</v>
      </c>
      <c r="AD872" s="125">
        <f>F872*0</f>
        <v>0</v>
      </c>
      <c r="AE872" s="125">
        <f>F872*(1-0)</f>
        <v>0</v>
      </c>
    </row>
    <row r="873" spans="1:31" s="90" customFormat="1" ht="11.25">
      <c r="A873" s="122" t="s">
        <v>691</v>
      </c>
      <c r="B873" s="122" t="s">
        <v>1757</v>
      </c>
      <c r="C873" s="122" t="s">
        <v>2968</v>
      </c>
      <c r="D873" s="122" t="s">
        <v>3459</v>
      </c>
      <c r="E873" s="123">
        <v>4.5</v>
      </c>
      <c r="F873" s="123">
        <v>0</v>
      </c>
      <c r="G873" s="123">
        <f t="shared" si="280"/>
        <v>0</v>
      </c>
      <c r="H873" s="123">
        <f t="shared" si="281"/>
        <v>0</v>
      </c>
      <c r="I873" s="123">
        <f t="shared" si="282"/>
        <v>0</v>
      </c>
      <c r="J873" s="123">
        <v>0.041</v>
      </c>
      <c r="K873" s="123">
        <f t="shared" si="283"/>
        <v>0.1845</v>
      </c>
      <c r="M873" s="124" t="s">
        <v>7</v>
      </c>
      <c r="N873" s="123">
        <f t="shared" si="284"/>
        <v>0</v>
      </c>
      <c r="Y873" s="123">
        <f t="shared" si="285"/>
        <v>0</v>
      </c>
      <c r="Z873" s="123">
        <f t="shared" si="286"/>
        <v>0</v>
      </c>
      <c r="AA873" s="123">
        <f t="shared" si="287"/>
        <v>0</v>
      </c>
      <c r="AC873" s="125">
        <v>20</v>
      </c>
      <c r="AD873" s="125">
        <f>F873*0.19755600814664</f>
        <v>0</v>
      </c>
      <c r="AE873" s="125">
        <f>F873*(1-0.19755600814664)</f>
        <v>0</v>
      </c>
    </row>
    <row r="874" spans="1:31" s="90" customFormat="1" ht="11.25">
      <c r="A874" s="122" t="s">
        <v>692</v>
      </c>
      <c r="B874" s="122" t="s">
        <v>1758</v>
      </c>
      <c r="C874" s="122" t="s">
        <v>2969</v>
      </c>
      <c r="D874" s="122" t="s">
        <v>3459</v>
      </c>
      <c r="E874" s="123">
        <v>38.88</v>
      </c>
      <c r="F874" s="123">
        <v>0</v>
      </c>
      <c r="G874" s="123">
        <f t="shared" si="280"/>
        <v>0</v>
      </c>
      <c r="H874" s="123">
        <f t="shared" si="281"/>
        <v>0</v>
      </c>
      <c r="I874" s="123">
        <f t="shared" si="282"/>
        <v>0</v>
      </c>
      <c r="J874" s="123">
        <v>0.066</v>
      </c>
      <c r="K874" s="123">
        <f t="shared" si="283"/>
        <v>2.5660800000000004</v>
      </c>
      <c r="M874" s="124" t="s">
        <v>7</v>
      </c>
      <c r="N874" s="123">
        <f t="shared" si="284"/>
        <v>0</v>
      </c>
      <c r="Y874" s="123">
        <f t="shared" si="285"/>
        <v>0</v>
      </c>
      <c r="Z874" s="123">
        <f t="shared" si="286"/>
        <v>0</v>
      </c>
      <c r="AA874" s="123">
        <f t="shared" si="287"/>
        <v>0</v>
      </c>
      <c r="AC874" s="125">
        <v>20</v>
      </c>
      <c r="AD874" s="125">
        <f>F874*0.129770027798838</f>
        <v>0</v>
      </c>
      <c r="AE874" s="125">
        <f>F874*(1-0.129770027798838)</f>
        <v>0</v>
      </c>
    </row>
    <row r="875" spans="1:31" s="90" customFormat="1" ht="11.25">
      <c r="A875" s="122" t="s">
        <v>693</v>
      </c>
      <c r="B875" s="122" t="s">
        <v>1759</v>
      </c>
      <c r="C875" s="122" t="s">
        <v>2970</v>
      </c>
      <c r="D875" s="122" t="s">
        <v>3455</v>
      </c>
      <c r="E875" s="123">
        <v>10</v>
      </c>
      <c r="F875" s="123">
        <v>0</v>
      </c>
      <c r="G875" s="123">
        <f t="shared" si="280"/>
        <v>0</v>
      </c>
      <c r="H875" s="123">
        <f t="shared" si="281"/>
        <v>0</v>
      </c>
      <c r="I875" s="123">
        <f t="shared" si="282"/>
        <v>0</v>
      </c>
      <c r="J875" s="123">
        <v>0</v>
      </c>
      <c r="K875" s="123">
        <f t="shared" si="283"/>
        <v>0</v>
      </c>
      <c r="M875" s="124" t="s">
        <v>7</v>
      </c>
      <c r="N875" s="123">
        <f t="shared" si="284"/>
        <v>0</v>
      </c>
      <c r="Y875" s="123">
        <f t="shared" si="285"/>
        <v>0</v>
      </c>
      <c r="Z875" s="123">
        <f t="shared" si="286"/>
        <v>0</v>
      </c>
      <c r="AA875" s="123">
        <f t="shared" si="287"/>
        <v>0</v>
      </c>
      <c r="AC875" s="125">
        <v>20</v>
      </c>
      <c r="AD875" s="125">
        <f>F875*0.482322953038514</f>
        <v>0</v>
      </c>
      <c r="AE875" s="125">
        <f>F875*(1-0.482322953038514)</f>
        <v>0</v>
      </c>
    </row>
    <row r="876" spans="1:31" s="90" customFormat="1" ht="11.25">
      <c r="A876" s="122" t="s">
        <v>694</v>
      </c>
      <c r="B876" s="122" t="s">
        <v>1760</v>
      </c>
      <c r="C876" s="122" t="s">
        <v>2971</v>
      </c>
      <c r="D876" s="122" t="s">
        <v>3458</v>
      </c>
      <c r="E876" s="123">
        <v>3.06</v>
      </c>
      <c r="F876" s="123">
        <v>0</v>
      </c>
      <c r="G876" s="123">
        <f t="shared" si="280"/>
        <v>0</v>
      </c>
      <c r="H876" s="123">
        <f t="shared" si="281"/>
        <v>0</v>
      </c>
      <c r="I876" s="123">
        <f t="shared" si="282"/>
        <v>0</v>
      </c>
      <c r="J876" s="123">
        <v>1.8</v>
      </c>
      <c r="K876" s="123">
        <f t="shared" si="283"/>
        <v>5.508</v>
      </c>
      <c r="M876" s="124" t="s">
        <v>7</v>
      </c>
      <c r="N876" s="123">
        <f t="shared" si="284"/>
        <v>0</v>
      </c>
      <c r="Y876" s="123">
        <f t="shared" si="285"/>
        <v>0</v>
      </c>
      <c r="Z876" s="123">
        <f t="shared" si="286"/>
        <v>0</v>
      </c>
      <c r="AA876" s="123">
        <f t="shared" si="287"/>
        <v>0</v>
      </c>
      <c r="AC876" s="125">
        <v>20</v>
      </c>
      <c r="AD876" s="125">
        <f>F876*0.0501661726398994</f>
        <v>0</v>
      </c>
      <c r="AE876" s="125">
        <f>F876*(1-0.0501661726398994)</f>
        <v>0</v>
      </c>
    </row>
    <row r="877" spans="1:31" s="90" customFormat="1" ht="11.25">
      <c r="A877" s="122" t="s">
        <v>695</v>
      </c>
      <c r="B877" s="122" t="s">
        <v>1761</v>
      </c>
      <c r="C877" s="122" t="s">
        <v>2972</v>
      </c>
      <c r="D877" s="122" t="s">
        <v>3455</v>
      </c>
      <c r="E877" s="123">
        <v>4</v>
      </c>
      <c r="F877" s="123">
        <v>0</v>
      </c>
      <c r="G877" s="123">
        <f t="shared" si="280"/>
        <v>0</v>
      </c>
      <c r="H877" s="123">
        <f t="shared" si="281"/>
        <v>0</v>
      </c>
      <c r="I877" s="123">
        <f t="shared" si="282"/>
        <v>0</v>
      </c>
      <c r="J877" s="123">
        <v>0.027</v>
      </c>
      <c r="K877" s="123">
        <f t="shared" si="283"/>
        <v>0.108</v>
      </c>
      <c r="M877" s="124" t="s">
        <v>7</v>
      </c>
      <c r="N877" s="123">
        <f t="shared" si="284"/>
        <v>0</v>
      </c>
      <c r="Y877" s="123">
        <f t="shared" si="285"/>
        <v>0</v>
      </c>
      <c r="Z877" s="123">
        <f t="shared" si="286"/>
        <v>0</v>
      </c>
      <c r="AA877" s="123">
        <f t="shared" si="287"/>
        <v>0</v>
      </c>
      <c r="AC877" s="125">
        <v>20</v>
      </c>
      <c r="AD877" s="125">
        <f>F877*0.107414448669202</f>
        <v>0</v>
      </c>
      <c r="AE877" s="125">
        <f>F877*(1-0.107414448669202)</f>
        <v>0</v>
      </c>
    </row>
    <row r="878" spans="1:31" s="90" customFormat="1" ht="11.25">
      <c r="A878" s="122" t="s">
        <v>696</v>
      </c>
      <c r="B878" s="122" t="s">
        <v>1762</v>
      </c>
      <c r="C878" s="122" t="s">
        <v>2973</v>
      </c>
      <c r="D878" s="122" t="s">
        <v>3455</v>
      </c>
      <c r="E878" s="123">
        <v>12.8</v>
      </c>
      <c r="F878" s="123">
        <v>0</v>
      </c>
      <c r="G878" s="123">
        <f t="shared" si="280"/>
        <v>0</v>
      </c>
      <c r="H878" s="123">
        <f t="shared" si="281"/>
        <v>0</v>
      </c>
      <c r="I878" s="123">
        <f t="shared" si="282"/>
        <v>0</v>
      </c>
      <c r="J878" s="123">
        <v>0.054</v>
      </c>
      <c r="K878" s="123">
        <f t="shared" si="283"/>
        <v>0.6912</v>
      </c>
      <c r="M878" s="124" t="s">
        <v>7</v>
      </c>
      <c r="N878" s="123">
        <f t="shared" si="284"/>
        <v>0</v>
      </c>
      <c r="Y878" s="123">
        <f t="shared" si="285"/>
        <v>0</v>
      </c>
      <c r="Z878" s="123">
        <f t="shared" si="286"/>
        <v>0</v>
      </c>
      <c r="AA878" s="123">
        <f t="shared" si="287"/>
        <v>0</v>
      </c>
      <c r="AC878" s="125">
        <v>20</v>
      </c>
      <c r="AD878" s="125">
        <f>F878*0.0519271641105175</f>
        <v>0</v>
      </c>
      <c r="AE878" s="125">
        <f>F878*(1-0.0519271641105175)</f>
        <v>0</v>
      </c>
    </row>
    <row r="879" spans="1:31" s="90" customFormat="1" ht="11.25">
      <c r="A879" s="122" t="s">
        <v>697</v>
      </c>
      <c r="B879" s="122" t="s">
        <v>1763</v>
      </c>
      <c r="C879" s="122" t="s">
        <v>2974</v>
      </c>
      <c r="D879" s="122" t="s">
        <v>3458</v>
      </c>
      <c r="E879" s="123">
        <v>294.64</v>
      </c>
      <c r="F879" s="123">
        <v>0</v>
      </c>
      <c r="G879" s="123">
        <f t="shared" si="280"/>
        <v>0</v>
      </c>
      <c r="H879" s="123">
        <f t="shared" si="281"/>
        <v>0</v>
      </c>
      <c r="I879" s="123">
        <f t="shared" si="282"/>
        <v>0</v>
      </c>
      <c r="J879" s="123">
        <v>0.35</v>
      </c>
      <c r="K879" s="123">
        <f t="shared" si="283"/>
        <v>103.124</v>
      </c>
      <c r="M879" s="124" t="s">
        <v>7</v>
      </c>
      <c r="N879" s="123">
        <f t="shared" si="284"/>
        <v>0</v>
      </c>
      <c r="Y879" s="123">
        <f t="shared" si="285"/>
        <v>0</v>
      </c>
      <c r="Z879" s="123">
        <f t="shared" si="286"/>
        <v>0</v>
      </c>
      <c r="AA879" s="123">
        <f t="shared" si="287"/>
        <v>0</v>
      </c>
      <c r="AC879" s="125">
        <v>20</v>
      </c>
      <c r="AD879" s="125">
        <f>F879*0.0320929430033933</f>
        <v>0</v>
      </c>
      <c r="AE879" s="125">
        <f>F879*(1-0.0320929430033933)</f>
        <v>0</v>
      </c>
    </row>
    <row r="880" spans="1:36" s="90" customFormat="1" ht="11.25">
      <c r="A880" s="127"/>
      <c r="B880" s="128" t="s">
        <v>1764</v>
      </c>
      <c r="C880" s="129" t="s">
        <v>2975</v>
      </c>
      <c r="D880" s="130"/>
      <c r="E880" s="130"/>
      <c r="F880" s="130"/>
      <c r="G880" s="121">
        <f>SUM(G881:G1079)</f>
        <v>0</v>
      </c>
      <c r="H880" s="121">
        <f>SUM(H881:H1079)</f>
        <v>0</v>
      </c>
      <c r="I880" s="121">
        <f>G880+H880</f>
        <v>0</v>
      </c>
      <c r="J880" s="114"/>
      <c r="K880" s="121">
        <f>SUM(K881:K1079)</f>
        <v>5.785360000000003</v>
      </c>
      <c r="O880" s="121">
        <f>IF(P880="PR",I880,SUM(N881:N1079))</f>
        <v>0</v>
      </c>
      <c r="P880" s="114" t="s">
        <v>3491</v>
      </c>
      <c r="Q880" s="121">
        <f>IF(P880="HS",G880,0)</f>
        <v>0</v>
      </c>
      <c r="R880" s="121">
        <f>IF(P880="HS",H880-O880,0)</f>
        <v>0</v>
      </c>
      <c r="S880" s="121">
        <f>IF(P880="PS",G880,0)</f>
        <v>0</v>
      </c>
      <c r="T880" s="121">
        <f>IF(P880="PS",H880-O880,0)</f>
        <v>0</v>
      </c>
      <c r="U880" s="121">
        <f>IF(P880="MP",G880,0)</f>
        <v>0</v>
      </c>
      <c r="V880" s="121">
        <f>IF(P880="MP",H880-O880,0)</f>
        <v>0</v>
      </c>
      <c r="W880" s="121">
        <f>IF(P880="OM",G880,0)</f>
        <v>0</v>
      </c>
      <c r="X880" s="114"/>
      <c r="AH880" s="121">
        <f>SUM(Y881:Y1079)</f>
        <v>0</v>
      </c>
      <c r="AI880" s="121">
        <f>SUM(Z881:Z1079)</f>
        <v>0</v>
      </c>
      <c r="AJ880" s="121">
        <f>SUM(AA881:AA1079)</f>
        <v>0</v>
      </c>
    </row>
    <row r="881" spans="1:31" s="90" customFormat="1" ht="11.25">
      <c r="A881" s="122" t="s">
        <v>698</v>
      </c>
      <c r="B881" s="122" t="s">
        <v>1765</v>
      </c>
      <c r="C881" s="122" t="s">
        <v>2976</v>
      </c>
      <c r="D881" s="122" t="s">
        <v>3468</v>
      </c>
      <c r="E881" s="123">
        <v>8</v>
      </c>
      <c r="F881" s="123">
        <v>0</v>
      </c>
      <c r="G881" s="123">
        <f>ROUND(E881*AD881,2)</f>
        <v>0</v>
      </c>
      <c r="H881" s="123">
        <f>I881-G881</f>
        <v>0</v>
      </c>
      <c r="I881" s="123">
        <f>ROUND(E881*F881,2)</f>
        <v>0</v>
      </c>
      <c r="J881" s="123">
        <v>0</v>
      </c>
      <c r="K881" s="123">
        <f>E881*J881</f>
        <v>0</v>
      </c>
      <c r="M881" s="124" t="s">
        <v>8</v>
      </c>
      <c r="N881" s="123">
        <f>IF(M881="5",H881,0)</f>
        <v>0</v>
      </c>
      <c r="Y881" s="123">
        <f>IF(AC881=0,I881,0)</f>
        <v>0</v>
      </c>
      <c r="Z881" s="123">
        <f>IF(AC881=14,I881,0)</f>
        <v>0</v>
      </c>
      <c r="AA881" s="123">
        <f>IF(AC881=20,I881,0)</f>
        <v>0</v>
      </c>
      <c r="AC881" s="125">
        <v>20</v>
      </c>
      <c r="AD881" s="125">
        <f>F881*1</f>
        <v>0</v>
      </c>
      <c r="AE881" s="125">
        <f>F881*(1-1)</f>
        <v>0</v>
      </c>
    </row>
    <row r="882" spans="1:31" s="90" customFormat="1" ht="11.25">
      <c r="A882" s="122" t="s">
        <v>699</v>
      </c>
      <c r="B882" s="122" t="s">
        <v>1766</v>
      </c>
      <c r="C882" s="122" t="s">
        <v>2977</v>
      </c>
      <c r="D882" s="122" t="s">
        <v>3468</v>
      </c>
      <c r="E882" s="123">
        <v>2</v>
      </c>
      <c r="F882" s="123">
        <v>0</v>
      </c>
      <c r="G882" s="123">
        <f>ROUND(E882*AD882,2)</f>
        <v>0</v>
      </c>
      <c r="H882" s="123">
        <f>I882-G882</f>
        <v>0</v>
      </c>
      <c r="I882" s="123">
        <f>ROUND(E882*F882,2)</f>
        <v>0</v>
      </c>
      <c r="J882" s="123">
        <v>0</v>
      </c>
      <c r="K882" s="123">
        <f>E882*J882</f>
        <v>0</v>
      </c>
      <c r="M882" s="124" t="s">
        <v>8</v>
      </c>
      <c r="N882" s="123">
        <f>IF(M882="5",H882,0)</f>
        <v>0</v>
      </c>
      <c r="Y882" s="123">
        <f>IF(AC882=0,I882,0)</f>
        <v>0</v>
      </c>
      <c r="Z882" s="123">
        <f>IF(AC882=14,I882,0)</f>
        <v>0</v>
      </c>
      <c r="AA882" s="123">
        <f>IF(AC882=20,I882,0)</f>
        <v>0</v>
      </c>
      <c r="AC882" s="125">
        <v>20</v>
      </c>
      <c r="AD882" s="125">
        <f>F882*1</f>
        <v>0</v>
      </c>
      <c r="AE882" s="125">
        <f>F882*(1-1)</f>
        <v>0</v>
      </c>
    </row>
    <row r="883" spans="1:31" s="90" customFormat="1" ht="11.25">
      <c r="A883" s="122" t="s">
        <v>700</v>
      </c>
      <c r="B883" s="122" t="s">
        <v>1767</v>
      </c>
      <c r="C883" s="122" t="s">
        <v>2978</v>
      </c>
      <c r="D883" s="122" t="s">
        <v>3457</v>
      </c>
      <c r="E883" s="123">
        <v>1</v>
      </c>
      <c r="F883" s="123">
        <v>0</v>
      </c>
      <c r="G883" s="123">
        <f>ROUND(E883*AD883,2)</f>
        <v>0</v>
      </c>
      <c r="H883" s="123">
        <f>I883-G883</f>
        <v>0</v>
      </c>
      <c r="I883" s="123">
        <f>ROUND(E883*F883,2)</f>
        <v>0</v>
      </c>
      <c r="J883" s="123">
        <v>0</v>
      </c>
      <c r="K883" s="123">
        <f>E883*J883</f>
        <v>0</v>
      </c>
      <c r="M883" s="124" t="s">
        <v>8</v>
      </c>
      <c r="N883" s="123">
        <f>IF(M883="5",H883,0)</f>
        <v>0</v>
      </c>
      <c r="Y883" s="123">
        <f>IF(AC883=0,I883,0)</f>
        <v>0</v>
      </c>
      <c r="Z883" s="123">
        <f>IF(AC883=14,I883,0)</f>
        <v>0</v>
      </c>
      <c r="AA883" s="123">
        <f>IF(AC883=20,I883,0)</f>
        <v>0</v>
      </c>
      <c r="AC883" s="125">
        <v>20</v>
      </c>
      <c r="AD883" s="125">
        <f>F883*0</f>
        <v>0</v>
      </c>
      <c r="AE883" s="125">
        <f>F883*(1-0)</f>
        <v>0</v>
      </c>
    </row>
    <row r="884" spans="1:31" s="90" customFormat="1" ht="11.25">
      <c r="A884" s="122" t="s">
        <v>701</v>
      </c>
      <c r="B884" s="122" t="s">
        <v>1768</v>
      </c>
      <c r="C884" s="122" t="s">
        <v>2979</v>
      </c>
      <c r="D884" s="122" t="s">
        <v>3457</v>
      </c>
      <c r="E884" s="123">
        <v>1</v>
      </c>
      <c r="F884" s="123">
        <v>0</v>
      </c>
      <c r="G884" s="123">
        <f>ROUND(E884*AD884,2)</f>
        <v>0</v>
      </c>
      <c r="H884" s="123">
        <f>I884-G884</f>
        <v>0</v>
      </c>
      <c r="I884" s="123">
        <f>ROUND(E884*F884,2)</f>
        <v>0</v>
      </c>
      <c r="J884" s="123">
        <v>0</v>
      </c>
      <c r="K884" s="123">
        <f>E884*J884</f>
        <v>0</v>
      </c>
      <c r="M884" s="124" t="s">
        <v>8</v>
      </c>
      <c r="N884" s="123">
        <f>IF(M884="5",H884,0)</f>
        <v>0</v>
      </c>
      <c r="Y884" s="123">
        <f>IF(AC884=0,I884,0)</f>
        <v>0</v>
      </c>
      <c r="Z884" s="123">
        <f>IF(AC884=14,I884,0)</f>
        <v>0</v>
      </c>
      <c r="AA884" s="123">
        <f>IF(AC884=20,I884,0)</f>
        <v>0</v>
      </c>
      <c r="AC884" s="125">
        <v>20</v>
      </c>
      <c r="AD884" s="125">
        <f>F884*0</f>
        <v>0</v>
      </c>
      <c r="AE884" s="125">
        <f>F884*(1-0)</f>
        <v>0</v>
      </c>
    </row>
    <row r="885" spans="1:31" s="90" customFormat="1" ht="11.25">
      <c r="A885" s="122" t="s">
        <v>702</v>
      </c>
      <c r="B885" s="122" t="s">
        <v>1769</v>
      </c>
      <c r="C885" s="122" t="s">
        <v>2980</v>
      </c>
      <c r="D885" s="122" t="s">
        <v>3455</v>
      </c>
      <c r="E885" s="123">
        <v>70</v>
      </c>
      <c r="F885" s="123">
        <v>0</v>
      </c>
      <c r="G885" s="123">
        <f>ROUND(E885*AD885,2)</f>
        <v>0</v>
      </c>
      <c r="H885" s="123">
        <f>I885-G885</f>
        <v>0</v>
      </c>
      <c r="I885" s="123">
        <f>ROUND(E885*F885,2)</f>
        <v>0</v>
      </c>
      <c r="J885" s="123">
        <v>8E-05</v>
      </c>
      <c r="K885" s="123">
        <f>E885*J885</f>
        <v>0.005600000000000001</v>
      </c>
      <c r="M885" s="124" t="s">
        <v>8</v>
      </c>
      <c r="N885" s="123">
        <f>IF(M885="5",H885,0)</f>
        <v>0</v>
      </c>
      <c r="Y885" s="123">
        <f>IF(AC885=0,I885,0)</f>
        <v>0</v>
      </c>
      <c r="Z885" s="123">
        <f>IF(AC885=14,I885,0)</f>
        <v>0</v>
      </c>
      <c r="AA885" s="123">
        <f>IF(AC885=20,I885,0)</f>
        <v>0</v>
      </c>
      <c r="AC885" s="125">
        <v>20</v>
      </c>
      <c r="AD885" s="125">
        <f>F885*0.22755905511811</f>
        <v>0</v>
      </c>
      <c r="AE885" s="125">
        <f>F885*(1-0.22755905511811)</f>
        <v>0</v>
      </c>
    </row>
    <row r="886" s="90" customFormat="1" ht="11.25">
      <c r="C886" s="126" t="s">
        <v>2981</v>
      </c>
    </row>
    <row r="887" spans="1:31" s="90" customFormat="1" ht="11.25">
      <c r="A887" s="122" t="s">
        <v>703</v>
      </c>
      <c r="B887" s="122" t="s">
        <v>1770</v>
      </c>
      <c r="C887" s="122" t="s">
        <v>2982</v>
      </c>
      <c r="D887" s="122" t="s">
        <v>3455</v>
      </c>
      <c r="E887" s="123">
        <v>120</v>
      </c>
      <c r="F887" s="123">
        <v>0</v>
      </c>
      <c r="G887" s="123">
        <f>ROUND(E887*AD887,2)</f>
        <v>0</v>
      </c>
      <c r="H887" s="123">
        <f>I887-G887</f>
        <v>0</v>
      </c>
      <c r="I887" s="123">
        <f>ROUND(E887*F887,2)</f>
        <v>0</v>
      </c>
      <c r="J887" s="123">
        <v>0.00012</v>
      </c>
      <c r="K887" s="123">
        <f>E887*J887</f>
        <v>0.0144</v>
      </c>
      <c r="M887" s="124" t="s">
        <v>8</v>
      </c>
      <c r="N887" s="123">
        <f>IF(M887="5",H887,0)</f>
        <v>0</v>
      </c>
      <c r="Y887" s="123">
        <f>IF(AC887=0,I887,0)</f>
        <v>0</v>
      </c>
      <c r="Z887" s="123">
        <f>IF(AC887=14,I887,0)</f>
        <v>0</v>
      </c>
      <c r="AA887" s="123">
        <f>IF(AC887=20,I887,0)</f>
        <v>0</v>
      </c>
      <c r="AC887" s="125">
        <v>20</v>
      </c>
      <c r="AD887" s="125">
        <f>F887*0.31711353856339</f>
        <v>0</v>
      </c>
      <c r="AE887" s="125">
        <f>F887*(1-0.31711353856339)</f>
        <v>0</v>
      </c>
    </row>
    <row r="888" s="90" customFormat="1" ht="11.25">
      <c r="C888" s="126" t="s">
        <v>2983</v>
      </c>
    </row>
    <row r="889" spans="1:31" s="90" customFormat="1" ht="11.25">
      <c r="A889" s="122" t="s">
        <v>704</v>
      </c>
      <c r="B889" s="122" t="s">
        <v>1771</v>
      </c>
      <c r="C889" s="122" t="s">
        <v>2984</v>
      </c>
      <c r="D889" s="122" t="s">
        <v>3455</v>
      </c>
      <c r="E889" s="123">
        <v>70</v>
      </c>
      <c r="F889" s="123">
        <v>0</v>
      </c>
      <c r="G889" s="123">
        <f>ROUND(E889*AD889,2)</f>
        <v>0</v>
      </c>
      <c r="H889" s="123">
        <f>I889-G889</f>
        <v>0</v>
      </c>
      <c r="I889" s="123">
        <f>ROUND(E889*F889,2)</f>
        <v>0</v>
      </c>
      <c r="J889" s="123">
        <v>0.00024</v>
      </c>
      <c r="K889" s="123">
        <f>E889*J889</f>
        <v>0.0168</v>
      </c>
      <c r="M889" s="124" t="s">
        <v>8</v>
      </c>
      <c r="N889" s="123">
        <f>IF(M889="5",H889,0)</f>
        <v>0</v>
      </c>
      <c r="Y889" s="123">
        <f>IF(AC889=0,I889,0)</f>
        <v>0</v>
      </c>
      <c r="Z889" s="123">
        <f>IF(AC889=14,I889,0)</f>
        <v>0</v>
      </c>
      <c r="AA889" s="123">
        <f>IF(AC889=20,I889,0)</f>
        <v>0</v>
      </c>
      <c r="AC889" s="125">
        <v>20</v>
      </c>
      <c r="AD889" s="125">
        <f>F889*0.695748449955713</f>
        <v>0</v>
      </c>
      <c r="AE889" s="125">
        <f>F889*(1-0.695748449955713)</f>
        <v>0</v>
      </c>
    </row>
    <row r="890" s="90" customFormat="1" ht="11.25">
      <c r="C890" s="126" t="s">
        <v>2981</v>
      </c>
    </row>
    <row r="891" spans="1:31" s="90" customFormat="1" ht="11.25">
      <c r="A891" s="122" t="s">
        <v>705</v>
      </c>
      <c r="B891" s="122" t="s">
        <v>1772</v>
      </c>
      <c r="C891" s="122" t="s">
        <v>2985</v>
      </c>
      <c r="D891" s="122" t="s">
        <v>3455</v>
      </c>
      <c r="E891" s="123">
        <v>125</v>
      </c>
      <c r="F891" s="123">
        <v>0</v>
      </c>
      <c r="G891" s="123">
        <f>ROUND(E891*AD891,2)</f>
        <v>0</v>
      </c>
      <c r="H891" s="123">
        <f>I891-G891</f>
        <v>0</v>
      </c>
      <c r="I891" s="123">
        <f>ROUND(E891*F891,2)</f>
        <v>0</v>
      </c>
      <c r="J891" s="123">
        <v>0.00034</v>
      </c>
      <c r="K891" s="123">
        <f>E891*J891</f>
        <v>0.0425</v>
      </c>
      <c r="M891" s="124" t="s">
        <v>8</v>
      </c>
      <c r="N891" s="123">
        <f>IF(M891="5",H891,0)</f>
        <v>0</v>
      </c>
      <c r="Y891" s="123">
        <f>IF(AC891=0,I891,0)</f>
        <v>0</v>
      </c>
      <c r="Z891" s="123">
        <f>IF(AC891=14,I891,0)</f>
        <v>0</v>
      </c>
      <c r="AA891" s="123">
        <f>IF(AC891=20,I891,0)</f>
        <v>0</v>
      </c>
      <c r="AC891" s="125">
        <v>20</v>
      </c>
      <c r="AD891" s="125">
        <f>F891*0.758926221598386</f>
        <v>0</v>
      </c>
      <c r="AE891" s="125">
        <f>F891*(1-0.758926221598386)</f>
        <v>0</v>
      </c>
    </row>
    <row r="892" s="90" customFormat="1" ht="11.25">
      <c r="C892" s="126" t="s">
        <v>2986</v>
      </c>
    </row>
    <row r="893" spans="1:31" s="90" customFormat="1" ht="11.25">
      <c r="A893" s="122" t="s">
        <v>706</v>
      </c>
      <c r="B893" s="122" t="s">
        <v>1773</v>
      </c>
      <c r="C893" s="122" t="s">
        <v>2987</v>
      </c>
      <c r="D893" s="122" t="s">
        <v>3455</v>
      </c>
      <c r="E893" s="123">
        <v>55</v>
      </c>
      <c r="F893" s="123">
        <v>0</v>
      </c>
      <c r="G893" s="123">
        <f>ROUND(E893*AD893,2)</f>
        <v>0</v>
      </c>
      <c r="H893" s="123">
        <f>I893-G893</f>
        <v>0</v>
      </c>
      <c r="I893" s="123">
        <f>ROUND(E893*F893,2)</f>
        <v>0</v>
      </c>
      <c r="J893" s="123">
        <v>0.00046</v>
      </c>
      <c r="K893" s="123">
        <f>E893*J893</f>
        <v>0.0253</v>
      </c>
      <c r="M893" s="124" t="s">
        <v>8</v>
      </c>
      <c r="N893" s="123">
        <f>IF(M893="5",H893,0)</f>
        <v>0</v>
      </c>
      <c r="Y893" s="123">
        <f>IF(AC893=0,I893,0)</f>
        <v>0</v>
      </c>
      <c r="Z893" s="123">
        <f>IF(AC893=14,I893,0)</f>
        <v>0</v>
      </c>
      <c r="AA893" s="123">
        <f>IF(AC893=20,I893,0)</f>
        <v>0</v>
      </c>
      <c r="AC893" s="125">
        <v>20</v>
      </c>
      <c r="AD893" s="125">
        <f>F893*0.792478477571364</f>
        <v>0</v>
      </c>
      <c r="AE893" s="125">
        <f>F893*(1-0.792478477571364)</f>
        <v>0</v>
      </c>
    </row>
    <row r="894" s="90" customFormat="1" ht="11.25">
      <c r="C894" s="126" t="s">
        <v>2983</v>
      </c>
    </row>
    <row r="895" spans="1:31" s="90" customFormat="1" ht="11.25">
      <c r="A895" s="122" t="s">
        <v>707</v>
      </c>
      <c r="B895" s="122" t="s">
        <v>1774</v>
      </c>
      <c r="C895" s="122" t="s">
        <v>2988</v>
      </c>
      <c r="D895" s="122" t="s">
        <v>3456</v>
      </c>
      <c r="E895" s="123">
        <v>240</v>
      </c>
      <c r="F895" s="123">
        <v>0</v>
      </c>
      <c r="G895" s="123">
        <f>ROUND(E895*AD895,2)</f>
        <v>0</v>
      </c>
      <c r="H895" s="123">
        <f>I895-G895</f>
        <v>0</v>
      </c>
      <c r="I895" s="123">
        <f>ROUND(E895*F895,2)</f>
        <v>0</v>
      </c>
      <c r="J895" s="123">
        <v>2E-05</v>
      </c>
      <c r="K895" s="123">
        <f>E895*J895</f>
        <v>0.0048000000000000004</v>
      </c>
      <c r="M895" s="124" t="s">
        <v>8</v>
      </c>
      <c r="N895" s="123">
        <f>IF(M895="5",H895,0)</f>
        <v>0</v>
      </c>
      <c r="Y895" s="123">
        <f>IF(AC895=0,I895,0)</f>
        <v>0</v>
      </c>
      <c r="Z895" s="123">
        <f>IF(AC895=14,I895,0)</f>
        <v>0</v>
      </c>
      <c r="AA895" s="123">
        <f>IF(AC895=20,I895,0)</f>
        <v>0</v>
      </c>
      <c r="AC895" s="125">
        <v>20</v>
      </c>
      <c r="AD895" s="125">
        <f>F895*0.149306930693069</f>
        <v>0</v>
      </c>
      <c r="AE895" s="125">
        <f>F895*(1-0.149306930693069)</f>
        <v>0</v>
      </c>
    </row>
    <row r="896" s="90" customFormat="1" ht="11.25">
      <c r="C896" s="126" t="s">
        <v>2989</v>
      </c>
    </row>
    <row r="897" spans="1:31" s="90" customFormat="1" ht="11.25">
      <c r="A897" s="122" t="s">
        <v>708</v>
      </c>
      <c r="B897" s="122" t="s">
        <v>1775</v>
      </c>
      <c r="C897" s="122" t="s">
        <v>2990</v>
      </c>
      <c r="D897" s="122" t="s">
        <v>3456</v>
      </c>
      <c r="E897" s="123">
        <v>59</v>
      </c>
      <c r="F897" s="123">
        <v>0</v>
      </c>
      <c r="G897" s="123">
        <f>ROUND(E897*AD897,2)</f>
        <v>0</v>
      </c>
      <c r="H897" s="123">
        <f>I897-G897</f>
        <v>0</v>
      </c>
      <c r="I897" s="123">
        <f>ROUND(E897*F897,2)</f>
        <v>0</v>
      </c>
      <c r="J897" s="123">
        <v>4E-05</v>
      </c>
      <c r="K897" s="123">
        <f>E897*J897</f>
        <v>0.00236</v>
      </c>
      <c r="M897" s="124" t="s">
        <v>8</v>
      </c>
      <c r="N897" s="123">
        <f>IF(M897="5",H897,0)</f>
        <v>0</v>
      </c>
      <c r="Y897" s="123">
        <f>IF(AC897=0,I897,0)</f>
        <v>0</v>
      </c>
      <c r="Z897" s="123">
        <f>IF(AC897=14,I897,0)</f>
        <v>0</v>
      </c>
      <c r="AA897" s="123">
        <f>IF(AC897=20,I897,0)</f>
        <v>0</v>
      </c>
      <c r="AC897" s="125">
        <v>20</v>
      </c>
      <c r="AD897" s="125">
        <f>F897*0.137322593018796</f>
        <v>0</v>
      </c>
      <c r="AE897" s="125">
        <f>F897*(1-0.137322593018796)</f>
        <v>0</v>
      </c>
    </row>
    <row r="898" s="90" customFormat="1" ht="11.25">
      <c r="C898" s="126" t="s">
        <v>2991</v>
      </c>
    </row>
    <row r="899" spans="1:31" s="90" customFormat="1" ht="11.25">
      <c r="A899" s="122" t="s">
        <v>709</v>
      </c>
      <c r="B899" s="122" t="s">
        <v>1776</v>
      </c>
      <c r="C899" s="122" t="s">
        <v>2992</v>
      </c>
      <c r="D899" s="122" t="s">
        <v>3456</v>
      </c>
      <c r="E899" s="123">
        <v>32</v>
      </c>
      <c r="F899" s="123">
        <v>0</v>
      </c>
      <c r="G899" s="123">
        <f>ROUND(E899*AD899,2)</f>
        <v>0</v>
      </c>
      <c r="H899" s="123">
        <f>I899-G899</f>
        <v>0</v>
      </c>
      <c r="I899" s="123">
        <f>ROUND(E899*F899,2)</f>
        <v>0</v>
      </c>
      <c r="J899" s="123">
        <v>0.00015</v>
      </c>
      <c r="K899" s="123">
        <f>E899*J899</f>
        <v>0.0048</v>
      </c>
      <c r="M899" s="124" t="s">
        <v>8</v>
      </c>
      <c r="N899" s="123">
        <f>IF(M899="5",H899,0)</f>
        <v>0</v>
      </c>
      <c r="Y899" s="123">
        <f>IF(AC899=0,I899,0)</f>
        <v>0</v>
      </c>
      <c r="Z899" s="123">
        <f>IF(AC899=14,I899,0)</f>
        <v>0</v>
      </c>
      <c r="AA899" s="123">
        <f>IF(AC899=20,I899,0)</f>
        <v>0</v>
      </c>
      <c r="AC899" s="125">
        <v>20</v>
      </c>
      <c r="AD899" s="125">
        <f>F899*0.456936978153952</f>
        <v>0</v>
      </c>
      <c r="AE899" s="125">
        <f>F899*(1-0.456936978153952)</f>
        <v>0</v>
      </c>
    </row>
    <row r="900" s="90" customFormat="1" ht="11.25">
      <c r="C900" s="126" t="s">
        <v>2993</v>
      </c>
    </row>
    <row r="901" spans="1:31" s="90" customFormat="1" ht="11.25">
      <c r="A901" s="122" t="s">
        <v>710</v>
      </c>
      <c r="B901" s="122" t="s">
        <v>1777</v>
      </c>
      <c r="C901" s="122" t="s">
        <v>2994</v>
      </c>
      <c r="D901" s="122" t="s">
        <v>3456</v>
      </c>
      <c r="E901" s="123">
        <v>46</v>
      </c>
      <c r="F901" s="123">
        <v>0</v>
      </c>
      <c r="G901" s="123">
        <f>ROUND(E901*AD901,2)</f>
        <v>0</v>
      </c>
      <c r="H901" s="123">
        <f>I901-G901</f>
        <v>0</v>
      </c>
      <c r="I901" s="123">
        <f>ROUND(E901*F901,2)</f>
        <v>0</v>
      </c>
      <c r="J901" s="123">
        <v>9E-05</v>
      </c>
      <c r="K901" s="123">
        <f>E901*J901</f>
        <v>0.0041400000000000005</v>
      </c>
      <c r="M901" s="124" t="s">
        <v>8</v>
      </c>
      <c r="N901" s="123">
        <f>IF(M901="5",H901,0)</f>
        <v>0</v>
      </c>
      <c r="Y901" s="123">
        <f>IF(AC901=0,I901,0)</f>
        <v>0</v>
      </c>
      <c r="Z901" s="123">
        <f>IF(AC901=14,I901,0)</f>
        <v>0</v>
      </c>
      <c r="AA901" s="123">
        <f>IF(AC901=20,I901,0)</f>
        <v>0</v>
      </c>
      <c r="AC901" s="125">
        <v>20</v>
      </c>
      <c r="AD901" s="125">
        <f>F901*0.194402420574887</f>
        <v>0</v>
      </c>
      <c r="AE901" s="125">
        <f>F901*(1-0.194402420574887)</f>
        <v>0</v>
      </c>
    </row>
    <row r="902" s="90" customFormat="1" ht="11.25">
      <c r="C902" s="126" t="s">
        <v>2995</v>
      </c>
    </row>
    <row r="903" spans="1:31" s="90" customFormat="1" ht="11.25">
      <c r="A903" s="122" t="s">
        <v>711</v>
      </c>
      <c r="B903" s="122" t="s">
        <v>1778</v>
      </c>
      <c r="C903" s="122" t="s">
        <v>2996</v>
      </c>
      <c r="D903" s="122" t="s">
        <v>3456</v>
      </c>
      <c r="E903" s="123">
        <v>73</v>
      </c>
      <c r="F903" s="123">
        <v>0</v>
      </c>
      <c r="G903" s="123">
        <f>ROUND(E903*AD903,2)</f>
        <v>0</v>
      </c>
      <c r="H903" s="123">
        <f>I903-G903</f>
        <v>0</v>
      </c>
      <c r="I903" s="123">
        <f>ROUND(E903*F903,2)</f>
        <v>0</v>
      </c>
      <c r="J903" s="123">
        <v>0</v>
      </c>
      <c r="K903" s="123">
        <f>E903*J903</f>
        <v>0</v>
      </c>
      <c r="M903" s="124" t="s">
        <v>8</v>
      </c>
      <c r="N903" s="123">
        <f>IF(M903="5",H903,0)</f>
        <v>0</v>
      </c>
      <c r="Y903" s="123">
        <f>IF(AC903=0,I903,0)</f>
        <v>0</v>
      </c>
      <c r="Z903" s="123">
        <f>IF(AC903=14,I903,0)</f>
        <v>0</v>
      </c>
      <c r="AA903" s="123">
        <f>IF(AC903=20,I903,0)</f>
        <v>0</v>
      </c>
      <c r="AC903" s="125">
        <v>20</v>
      </c>
      <c r="AD903" s="125">
        <f>F903*0</f>
        <v>0</v>
      </c>
      <c r="AE903" s="125">
        <f>F903*(1-0)</f>
        <v>0</v>
      </c>
    </row>
    <row r="904" s="90" customFormat="1" ht="11.25">
      <c r="C904" s="126" t="s">
        <v>2997</v>
      </c>
    </row>
    <row r="905" spans="1:31" s="90" customFormat="1" ht="11.25">
      <c r="A905" s="122" t="s">
        <v>712</v>
      </c>
      <c r="B905" s="122" t="s">
        <v>1779</v>
      </c>
      <c r="C905" s="122" t="s">
        <v>2998</v>
      </c>
      <c r="D905" s="122" t="s">
        <v>3456</v>
      </c>
      <c r="E905" s="123">
        <v>4</v>
      </c>
      <c r="F905" s="123">
        <v>0</v>
      </c>
      <c r="G905" s="123">
        <f>ROUND(E905*AD905,2)</f>
        <v>0</v>
      </c>
      <c r="H905" s="123">
        <f>I905-G905</f>
        <v>0</v>
      </c>
      <c r="I905" s="123">
        <f>ROUND(E905*F905,2)</f>
        <v>0</v>
      </c>
      <c r="J905" s="123">
        <v>0</v>
      </c>
      <c r="K905" s="123">
        <f>E905*J905</f>
        <v>0</v>
      </c>
      <c r="M905" s="124" t="s">
        <v>8</v>
      </c>
      <c r="N905" s="123">
        <f>IF(M905="5",H905,0)</f>
        <v>0</v>
      </c>
      <c r="Y905" s="123">
        <f>IF(AC905=0,I905,0)</f>
        <v>0</v>
      </c>
      <c r="Z905" s="123">
        <f>IF(AC905=14,I905,0)</f>
        <v>0</v>
      </c>
      <c r="AA905" s="123">
        <f>IF(AC905=20,I905,0)</f>
        <v>0</v>
      </c>
      <c r="AC905" s="125">
        <v>20</v>
      </c>
      <c r="AD905" s="125">
        <f>F905*0</f>
        <v>0</v>
      </c>
      <c r="AE905" s="125">
        <f>F905*(1-0)</f>
        <v>0</v>
      </c>
    </row>
    <row r="906" spans="1:31" s="90" customFormat="1" ht="11.25">
      <c r="A906" s="122" t="s">
        <v>713</v>
      </c>
      <c r="B906" s="122" t="s">
        <v>1780</v>
      </c>
      <c r="C906" s="122" t="s">
        <v>2999</v>
      </c>
      <c r="D906" s="122" t="s">
        <v>3456</v>
      </c>
      <c r="E906" s="123">
        <v>2</v>
      </c>
      <c r="F906" s="123">
        <v>0</v>
      </c>
      <c r="G906" s="123">
        <f>ROUND(E906*AD906,2)</f>
        <v>0</v>
      </c>
      <c r="H906" s="123">
        <f>I906-G906</f>
        <v>0</v>
      </c>
      <c r="I906" s="123">
        <f>ROUND(E906*F906,2)</f>
        <v>0</v>
      </c>
      <c r="J906" s="123">
        <v>0</v>
      </c>
      <c r="K906" s="123">
        <f>E906*J906</f>
        <v>0</v>
      </c>
      <c r="M906" s="124" t="s">
        <v>8</v>
      </c>
      <c r="N906" s="123">
        <f>IF(M906="5",H906,0)</f>
        <v>0</v>
      </c>
      <c r="Y906" s="123">
        <f>IF(AC906=0,I906,0)</f>
        <v>0</v>
      </c>
      <c r="Z906" s="123">
        <f>IF(AC906=14,I906,0)</f>
        <v>0</v>
      </c>
      <c r="AA906" s="123">
        <f>IF(AC906=20,I906,0)</f>
        <v>0</v>
      </c>
      <c r="AC906" s="125">
        <v>20</v>
      </c>
      <c r="AD906" s="125">
        <f>F906*0.750676808750836</f>
        <v>0</v>
      </c>
      <c r="AE906" s="125">
        <f>F906*(1-0.750676808750836)</f>
        <v>0</v>
      </c>
    </row>
    <row r="907" spans="1:31" s="90" customFormat="1" ht="11.25">
      <c r="A907" s="122" t="s">
        <v>714</v>
      </c>
      <c r="B907" s="122" t="s">
        <v>1781</v>
      </c>
      <c r="C907" s="122" t="s">
        <v>3000</v>
      </c>
      <c r="D907" s="122" t="s">
        <v>3456</v>
      </c>
      <c r="E907" s="123">
        <v>3</v>
      </c>
      <c r="F907" s="123">
        <v>0</v>
      </c>
      <c r="G907" s="123">
        <f>ROUND(E907*AD907,2)</f>
        <v>0</v>
      </c>
      <c r="H907" s="123">
        <f>I907-G907</f>
        <v>0</v>
      </c>
      <c r="I907" s="123">
        <f>ROUND(E907*F907,2)</f>
        <v>0</v>
      </c>
      <c r="J907" s="123">
        <v>0</v>
      </c>
      <c r="K907" s="123">
        <f>E907*J907</f>
        <v>0</v>
      </c>
      <c r="M907" s="124" t="s">
        <v>8</v>
      </c>
      <c r="N907" s="123">
        <f>IF(M907="5",H907,0)</f>
        <v>0</v>
      </c>
      <c r="Y907" s="123">
        <f>IF(AC907=0,I907,0)</f>
        <v>0</v>
      </c>
      <c r="Z907" s="123">
        <f>IF(AC907=14,I907,0)</f>
        <v>0</v>
      </c>
      <c r="AA907" s="123">
        <f>IF(AC907=20,I907,0)</f>
        <v>0</v>
      </c>
      <c r="AC907" s="125">
        <v>20</v>
      </c>
      <c r="AD907" s="125">
        <f>F907*0</f>
        <v>0</v>
      </c>
      <c r="AE907" s="125">
        <f>F907*(1-0)</f>
        <v>0</v>
      </c>
    </row>
    <row r="908" spans="1:31" s="90" customFormat="1" ht="11.25">
      <c r="A908" s="122" t="s">
        <v>715</v>
      </c>
      <c r="B908" s="122" t="s">
        <v>1782</v>
      </c>
      <c r="C908" s="122" t="s">
        <v>3001</v>
      </c>
      <c r="D908" s="122" t="s">
        <v>3456</v>
      </c>
      <c r="E908" s="123">
        <v>28</v>
      </c>
      <c r="F908" s="123">
        <v>0</v>
      </c>
      <c r="G908" s="123">
        <f>ROUND(E908*AD908,2)</f>
        <v>0</v>
      </c>
      <c r="H908" s="123">
        <f>I908-G908</f>
        <v>0</v>
      </c>
      <c r="I908" s="123">
        <f>ROUND(E908*F908,2)</f>
        <v>0</v>
      </c>
      <c r="J908" s="123">
        <v>1E-05</v>
      </c>
      <c r="K908" s="123">
        <f>E908*J908</f>
        <v>0.00028000000000000003</v>
      </c>
      <c r="M908" s="124" t="s">
        <v>8</v>
      </c>
      <c r="N908" s="123">
        <f>IF(M908="5",H908,0)</f>
        <v>0</v>
      </c>
      <c r="Y908" s="123">
        <f>IF(AC908=0,I908,0)</f>
        <v>0</v>
      </c>
      <c r="Z908" s="123">
        <f>IF(AC908=14,I908,0)</f>
        <v>0</v>
      </c>
      <c r="AA908" s="123">
        <f>IF(AC908=20,I908,0)</f>
        <v>0</v>
      </c>
      <c r="AC908" s="125">
        <v>20</v>
      </c>
      <c r="AD908" s="125">
        <f>F908*0.412809079854074</f>
        <v>0</v>
      </c>
      <c r="AE908" s="125">
        <f>F908*(1-0.412809079854074)</f>
        <v>0</v>
      </c>
    </row>
    <row r="909" s="90" customFormat="1" ht="11.25">
      <c r="C909" s="126" t="s">
        <v>3002</v>
      </c>
    </row>
    <row r="910" spans="1:31" s="90" customFormat="1" ht="11.25">
      <c r="A910" s="122" t="s">
        <v>716</v>
      </c>
      <c r="B910" s="122" t="s">
        <v>1783</v>
      </c>
      <c r="C910" s="122" t="s">
        <v>3003</v>
      </c>
      <c r="D910" s="122" t="s">
        <v>3456</v>
      </c>
      <c r="E910" s="123">
        <v>10</v>
      </c>
      <c r="F910" s="123">
        <v>0</v>
      </c>
      <c r="G910" s="123">
        <f>ROUND(E910*AD910,2)</f>
        <v>0</v>
      </c>
      <c r="H910" s="123">
        <f>I910-G910</f>
        <v>0</v>
      </c>
      <c r="I910" s="123">
        <f>ROUND(E910*F910,2)</f>
        <v>0</v>
      </c>
      <c r="J910" s="123">
        <v>4E-05</v>
      </c>
      <c r="K910" s="123">
        <f>E910*J910</f>
        <v>0.0004</v>
      </c>
      <c r="M910" s="124" t="s">
        <v>8</v>
      </c>
      <c r="N910" s="123">
        <f>IF(M910="5",H910,0)</f>
        <v>0</v>
      </c>
      <c r="Y910" s="123">
        <f>IF(AC910=0,I910,0)</f>
        <v>0</v>
      </c>
      <c r="Z910" s="123">
        <f>IF(AC910=14,I910,0)</f>
        <v>0</v>
      </c>
      <c r="AA910" s="123">
        <f>IF(AC910=20,I910,0)</f>
        <v>0</v>
      </c>
      <c r="AC910" s="125">
        <v>20</v>
      </c>
      <c r="AD910" s="125">
        <f>F910*0.718532054210446</f>
        <v>0</v>
      </c>
      <c r="AE910" s="125">
        <f>F910*(1-0.718532054210446)</f>
        <v>0</v>
      </c>
    </row>
    <row r="911" s="90" customFormat="1" ht="11.25">
      <c r="C911" s="126" t="s">
        <v>3004</v>
      </c>
    </row>
    <row r="912" spans="1:31" s="90" customFormat="1" ht="11.25">
      <c r="A912" s="122" t="s">
        <v>717</v>
      </c>
      <c r="B912" s="122" t="s">
        <v>1784</v>
      </c>
      <c r="C912" s="122" t="s">
        <v>3005</v>
      </c>
      <c r="D912" s="122" t="s">
        <v>3456</v>
      </c>
      <c r="E912" s="123">
        <v>2</v>
      </c>
      <c r="F912" s="123">
        <v>0</v>
      </c>
      <c r="G912" s="123">
        <f>ROUND(E912*AD912,2)</f>
        <v>0</v>
      </c>
      <c r="H912" s="123">
        <f>I912-G912</f>
        <v>0</v>
      </c>
      <c r="I912" s="123">
        <f>ROUND(E912*F912,2)</f>
        <v>0</v>
      </c>
      <c r="J912" s="123">
        <v>6E-05</v>
      </c>
      <c r="K912" s="123">
        <f>E912*J912</f>
        <v>0.00012</v>
      </c>
      <c r="M912" s="124" t="s">
        <v>8</v>
      </c>
      <c r="N912" s="123">
        <f>IF(M912="5",H912,0)</f>
        <v>0</v>
      </c>
      <c r="Y912" s="123">
        <f>IF(AC912=0,I912,0)</f>
        <v>0</v>
      </c>
      <c r="Z912" s="123">
        <f>IF(AC912=14,I912,0)</f>
        <v>0</v>
      </c>
      <c r="AA912" s="123">
        <f>IF(AC912=20,I912,0)</f>
        <v>0</v>
      </c>
      <c r="AC912" s="125">
        <v>20</v>
      </c>
      <c r="AD912" s="125">
        <f>F912*0.607411566535654</f>
        <v>0</v>
      </c>
      <c r="AE912" s="125">
        <f>F912*(1-0.607411566535654)</f>
        <v>0</v>
      </c>
    </row>
    <row r="913" s="90" customFormat="1" ht="11.25">
      <c r="C913" s="126" t="s">
        <v>3006</v>
      </c>
    </row>
    <row r="914" spans="1:31" s="90" customFormat="1" ht="11.25">
      <c r="A914" s="122" t="s">
        <v>718</v>
      </c>
      <c r="B914" s="122" t="s">
        <v>1785</v>
      </c>
      <c r="C914" s="122" t="s">
        <v>3007</v>
      </c>
      <c r="D914" s="122" t="s">
        <v>3456</v>
      </c>
      <c r="E914" s="123">
        <v>2</v>
      </c>
      <c r="F914" s="123">
        <v>0</v>
      </c>
      <c r="G914" s="123">
        <f>ROUND(E914*AD914,2)</f>
        <v>0</v>
      </c>
      <c r="H914" s="123">
        <f>I914-G914</f>
        <v>0</v>
      </c>
      <c r="I914" s="123">
        <f>ROUND(E914*F914,2)</f>
        <v>0</v>
      </c>
      <c r="J914" s="123">
        <v>0</v>
      </c>
      <c r="K914" s="123">
        <f>E914*J914</f>
        <v>0</v>
      </c>
      <c r="M914" s="124" t="s">
        <v>8</v>
      </c>
      <c r="N914" s="123">
        <f>IF(M914="5",H914,0)</f>
        <v>0</v>
      </c>
      <c r="Y914" s="123">
        <f>IF(AC914=0,I914,0)</f>
        <v>0</v>
      </c>
      <c r="Z914" s="123">
        <f>IF(AC914=14,I914,0)</f>
        <v>0</v>
      </c>
      <c r="AA914" s="123">
        <f>IF(AC914=20,I914,0)</f>
        <v>0</v>
      </c>
      <c r="AC914" s="125">
        <v>20</v>
      </c>
      <c r="AD914" s="125">
        <f>F914*0</f>
        <v>0</v>
      </c>
      <c r="AE914" s="125">
        <f>F914*(1-0)</f>
        <v>0</v>
      </c>
    </row>
    <row r="915" spans="1:31" s="90" customFormat="1" ht="11.25">
      <c r="A915" s="122" t="s">
        <v>719</v>
      </c>
      <c r="B915" s="122" t="s">
        <v>1786</v>
      </c>
      <c r="C915" s="122" t="s">
        <v>3008</v>
      </c>
      <c r="D915" s="122" t="s">
        <v>3456</v>
      </c>
      <c r="E915" s="123">
        <v>2</v>
      </c>
      <c r="F915" s="123">
        <v>0</v>
      </c>
      <c r="G915" s="123">
        <f>ROUND(E915*AD915,2)</f>
        <v>0</v>
      </c>
      <c r="H915" s="123">
        <f>I915-G915</f>
        <v>0</v>
      </c>
      <c r="I915" s="123">
        <f>ROUND(E915*F915,2)</f>
        <v>0</v>
      </c>
      <c r="J915" s="123">
        <v>0.00416</v>
      </c>
      <c r="K915" s="123">
        <f>E915*J915</f>
        <v>0.00832</v>
      </c>
      <c r="M915" s="124" t="s">
        <v>8</v>
      </c>
      <c r="N915" s="123">
        <f>IF(M915="5",H915,0)</f>
        <v>0</v>
      </c>
      <c r="Y915" s="123">
        <f>IF(AC915=0,I915,0)</f>
        <v>0</v>
      </c>
      <c r="Z915" s="123">
        <f>IF(AC915=14,I915,0)</f>
        <v>0</v>
      </c>
      <c r="AA915" s="123">
        <f>IF(AC915=20,I915,0)</f>
        <v>0</v>
      </c>
      <c r="AC915" s="125">
        <v>20</v>
      </c>
      <c r="AD915" s="125">
        <f>F915*0.916805827633086</f>
        <v>0</v>
      </c>
      <c r="AE915" s="125">
        <f>F915*(1-0.916805827633086)</f>
        <v>0</v>
      </c>
    </row>
    <row r="916" s="90" customFormat="1" ht="11.25">
      <c r="C916" s="126" t="s">
        <v>3009</v>
      </c>
    </row>
    <row r="917" spans="1:31" s="90" customFormat="1" ht="11.25">
      <c r="A917" s="122" t="s">
        <v>720</v>
      </c>
      <c r="B917" s="122" t="s">
        <v>1787</v>
      </c>
      <c r="C917" s="122" t="s">
        <v>3010</v>
      </c>
      <c r="D917" s="122" t="s">
        <v>3456</v>
      </c>
      <c r="E917" s="123">
        <v>62</v>
      </c>
      <c r="F917" s="123">
        <v>0</v>
      </c>
      <c r="G917" s="123">
        <f>ROUND(E917*AD917,2)</f>
        <v>0</v>
      </c>
      <c r="H917" s="123">
        <f>I917-G917</f>
        <v>0</v>
      </c>
      <c r="I917" s="123">
        <f>ROUND(E917*F917,2)</f>
        <v>0</v>
      </c>
      <c r="J917" s="123">
        <v>0.0001</v>
      </c>
      <c r="K917" s="123">
        <f>E917*J917</f>
        <v>0.006200000000000001</v>
      </c>
      <c r="M917" s="124" t="s">
        <v>8</v>
      </c>
      <c r="N917" s="123">
        <f>IF(M917="5",H917,0)</f>
        <v>0</v>
      </c>
      <c r="Y917" s="123">
        <f>IF(AC917=0,I917,0)</f>
        <v>0</v>
      </c>
      <c r="Z917" s="123">
        <f>IF(AC917=14,I917,0)</f>
        <v>0</v>
      </c>
      <c r="AA917" s="123">
        <f>IF(AC917=20,I917,0)</f>
        <v>0</v>
      </c>
      <c r="AC917" s="125">
        <v>20</v>
      </c>
      <c r="AD917" s="125">
        <f>F917*0.435183574038629</f>
        <v>0</v>
      </c>
      <c r="AE917" s="125">
        <f>F917*(1-0.435183574038629)</f>
        <v>0</v>
      </c>
    </row>
    <row r="918" s="90" customFormat="1" ht="11.25">
      <c r="C918" s="126" t="s">
        <v>3011</v>
      </c>
    </row>
    <row r="919" spans="1:31" s="90" customFormat="1" ht="11.25">
      <c r="A919" s="122" t="s">
        <v>721</v>
      </c>
      <c r="B919" s="122" t="s">
        <v>1788</v>
      </c>
      <c r="C919" s="122" t="s">
        <v>3012</v>
      </c>
      <c r="D919" s="122" t="s">
        <v>3456</v>
      </c>
      <c r="E919" s="123">
        <v>111</v>
      </c>
      <c r="F919" s="123">
        <v>0</v>
      </c>
      <c r="G919" s="123">
        <f>ROUND(E919*AD919,2)</f>
        <v>0</v>
      </c>
      <c r="H919" s="123">
        <f>I919-G919</f>
        <v>0</v>
      </c>
      <c r="I919" s="123">
        <f>ROUND(E919*F919,2)</f>
        <v>0</v>
      </c>
      <c r="J919" s="123">
        <v>0.00015</v>
      </c>
      <c r="K919" s="123">
        <f>E919*J919</f>
        <v>0.016649999999999998</v>
      </c>
      <c r="M919" s="124" t="s">
        <v>8</v>
      </c>
      <c r="N919" s="123">
        <f>IF(M919="5",H919,0)</f>
        <v>0</v>
      </c>
      <c r="Y919" s="123">
        <f>IF(AC919=0,I919,0)</f>
        <v>0</v>
      </c>
      <c r="Z919" s="123">
        <f>IF(AC919=14,I919,0)</f>
        <v>0</v>
      </c>
      <c r="AA919" s="123">
        <f>IF(AC919=20,I919,0)</f>
        <v>0</v>
      </c>
      <c r="AC919" s="125">
        <v>20</v>
      </c>
      <c r="AD919" s="125">
        <f>F919*0.31510485797717</f>
        <v>0</v>
      </c>
      <c r="AE919" s="125">
        <f>F919*(1-0.31510485797717)</f>
        <v>0</v>
      </c>
    </row>
    <row r="920" s="90" customFormat="1" ht="11.25">
      <c r="C920" s="126" t="s">
        <v>3011</v>
      </c>
    </row>
    <row r="921" spans="1:31" s="90" customFormat="1" ht="11.25">
      <c r="A921" s="122" t="s">
        <v>722</v>
      </c>
      <c r="B921" s="122" t="s">
        <v>1789</v>
      </c>
      <c r="C921" s="122" t="s">
        <v>3013</v>
      </c>
      <c r="D921" s="122" t="s">
        <v>3456</v>
      </c>
      <c r="E921" s="123">
        <v>22</v>
      </c>
      <c r="F921" s="123">
        <v>0</v>
      </c>
      <c r="G921" s="123">
        <f>ROUND(E921*AD921,2)</f>
        <v>0</v>
      </c>
      <c r="H921" s="123">
        <f>I921-G921</f>
        <v>0</v>
      </c>
      <c r="I921" s="123">
        <f>ROUND(E921*F921,2)</f>
        <v>0</v>
      </c>
      <c r="J921" s="123">
        <v>0.00018</v>
      </c>
      <c r="K921" s="123">
        <f>E921*J921</f>
        <v>0.00396</v>
      </c>
      <c r="M921" s="124" t="s">
        <v>8</v>
      </c>
      <c r="N921" s="123">
        <f>IF(M921="5",H921,0)</f>
        <v>0</v>
      </c>
      <c r="Y921" s="123">
        <f>IF(AC921=0,I921,0)</f>
        <v>0</v>
      </c>
      <c r="Z921" s="123">
        <f>IF(AC921=14,I921,0)</f>
        <v>0</v>
      </c>
      <c r="AA921" s="123">
        <f>IF(AC921=20,I921,0)</f>
        <v>0</v>
      </c>
      <c r="AC921" s="125">
        <v>20</v>
      </c>
      <c r="AD921" s="125">
        <f>F921*0.317515040897722</f>
        <v>0</v>
      </c>
      <c r="AE921" s="125">
        <f>F921*(1-0.317515040897722)</f>
        <v>0</v>
      </c>
    </row>
    <row r="922" s="90" customFormat="1" ht="11.25">
      <c r="C922" s="126" t="s">
        <v>3011</v>
      </c>
    </row>
    <row r="923" spans="1:31" s="90" customFormat="1" ht="11.25">
      <c r="A923" s="122" t="s">
        <v>723</v>
      </c>
      <c r="B923" s="122" t="s">
        <v>1790</v>
      </c>
      <c r="C923" s="122" t="s">
        <v>3014</v>
      </c>
      <c r="D923" s="122" t="s">
        <v>3456</v>
      </c>
      <c r="E923" s="123">
        <v>67</v>
      </c>
      <c r="F923" s="123">
        <v>0</v>
      </c>
      <c r="G923" s="123">
        <f>ROUND(E923*AD923,2)</f>
        <v>0</v>
      </c>
      <c r="H923" s="123">
        <f>I923-G923</f>
        <v>0</v>
      </c>
      <c r="I923" s="123">
        <f>ROUND(E923*F923,2)</f>
        <v>0</v>
      </c>
      <c r="J923" s="123">
        <v>0.00035</v>
      </c>
      <c r="K923" s="123">
        <f>E923*J923</f>
        <v>0.02345</v>
      </c>
      <c r="M923" s="124" t="s">
        <v>8</v>
      </c>
      <c r="N923" s="123">
        <f>IF(M923="5",H923,0)</f>
        <v>0</v>
      </c>
      <c r="Y923" s="123">
        <f>IF(AC923=0,I923,0)</f>
        <v>0</v>
      </c>
      <c r="Z923" s="123">
        <f>IF(AC923=14,I923,0)</f>
        <v>0</v>
      </c>
      <c r="AA923" s="123">
        <f>IF(AC923=20,I923,0)</f>
        <v>0</v>
      </c>
      <c r="AC923" s="125">
        <v>20</v>
      </c>
      <c r="AD923" s="125">
        <f>F923*0.735424389774204</f>
        <v>0</v>
      </c>
      <c r="AE923" s="125">
        <f>F923*(1-0.735424389774204)</f>
        <v>0</v>
      </c>
    </row>
    <row r="924" s="90" customFormat="1" ht="11.25">
      <c r="C924" s="126" t="s">
        <v>3011</v>
      </c>
    </row>
    <row r="925" spans="1:31" s="90" customFormat="1" ht="11.25">
      <c r="A925" s="122" t="s">
        <v>724</v>
      </c>
      <c r="B925" s="122" t="s">
        <v>1791</v>
      </c>
      <c r="C925" s="122" t="s">
        <v>3015</v>
      </c>
      <c r="D925" s="122" t="s">
        <v>3456</v>
      </c>
      <c r="E925" s="123">
        <v>10</v>
      </c>
      <c r="F925" s="123">
        <v>0</v>
      </c>
      <c r="G925" s="123">
        <f aca="true" t="shared" si="288" ref="G925:G930">ROUND(E925*AD925,2)</f>
        <v>0</v>
      </c>
      <c r="H925" s="123">
        <f aca="true" t="shared" si="289" ref="H925:H930">I925-G925</f>
        <v>0</v>
      </c>
      <c r="I925" s="123">
        <f aca="true" t="shared" si="290" ref="I925:I930">ROUND(E925*F925,2)</f>
        <v>0</v>
      </c>
      <c r="J925" s="123">
        <v>0</v>
      </c>
      <c r="K925" s="123">
        <f aca="true" t="shared" si="291" ref="K925:K930">E925*J925</f>
        <v>0</v>
      </c>
      <c r="M925" s="124" t="s">
        <v>8</v>
      </c>
      <c r="N925" s="123">
        <f aca="true" t="shared" si="292" ref="N925:N930">IF(M925="5",H925,0)</f>
        <v>0</v>
      </c>
      <c r="Y925" s="123">
        <f aca="true" t="shared" si="293" ref="Y925:Y930">IF(AC925=0,I925,0)</f>
        <v>0</v>
      </c>
      <c r="Z925" s="123">
        <f aca="true" t="shared" si="294" ref="Z925:Z930">IF(AC925=14,I925,0)</f>
        <v>0</v>
      </c>
      <c r="AA925" s="123">
        <f aca="true" t="shared" si="295" ref="AA925:AA930">IF(AC925=20,I925,0)</f>
        <v>0</v>
      </c>
      <c r="AC925" s="125">
        <v>20</v>
      </c>
      <c r="AD925" s="125">
        <f aca="true" t="shared" si="296" ref="AD925:AD930">F925*0</f>
        <v>0</v>
      </c>
      <c r="AE925" s="125">
        <f aca="true" t="shared" si="297" ref="AE925:AE930">F925*(1-0)</f>
        <v>0</v>
      </c>
    </row>
    <row r="926" spans="1:31" s="90" customFormat="1" ht="11.25">
      <c r="A926" s="122" t="s">
        <v>725</v>
      </c>
      <c r="B926" s="122" t="s">
        <v>1792</v>
      </c>
      <c r="C926" s="122" t="s">
        <v>3016</v>
      </c>
      <c r="D926" s="122" t="s">
        <v>3456</v>
      </c>
      <c r="E926" s="123">
        <v>8</v>
      </c>
      <c r="F926" s="123">
        <v>0</v>
      </c>
      <c r="G926" s="123">
        <f t="shared" si="288"/>
        <v>0</v>
      </c>
      <c r="H926" s="123">
        <f t="shared" si="289"/>
        <v>0</v>
      </c>
      <c r="I926" s="123">
        <f t="shared" si="290"/>
        <v>0</v>
      </c>
      <c r="J926" s="123">
        <v>0</v>
      </c>
      <c r="K926" s="123">
        <f t="shared" si="291"/>
        <v>0</v>
      </c>
      <c r="M926" s="124" t="s">
        <v>8</v>
      </c>
      <c r="N926" s="123">
        <f t="shared" si="292"/>
        <v>0</v>
      </c>
      <c r="Y926" s="123">
        <f t="shared" si="293"/>
        <v>0</v>
      </c>
      <c r="Z926" s="123">
        <f t="shared" si="294"/>
        <v>0</v>
      </c>
      <c r="AA926" s="123">
        <f t="shared" si="295"/>
        <v>0</v>
      </c>
      <c r="AC926" s="125">
        <v>20</v>
      </c>
      <c r="AD926" s="125">
        <f t="shared" si="296"/>
        <v>0</v>
      </c>
      <c r="AE926" s="125">
        <f t="shared" si="297"/>
        <v>0</v>
      </c>
    </row>
    <row r="927" spans="1:31" s="90" customFormat="1" ht="11.25">
      <c r="A927" s="122" t="s">
        <v>726</v>
      </c>
      <c r="B927" s="122" t="s">
        <v>1793</v>
      </c>
      <c r="C927" s="122" t="s">
        <v>3017</v>
      </c>
      <c r="D927" s="122" t="s">
        <v>3456</v>
      </c>
      <c r="E927" s="123">
        <v>2</v>
      </c>
      <c r="F927" s="123">
        <v>0</v>
      </c>
      <c r="G927" s="123">
        <f t="shared" si="288"/>
        <v>0</v>
      </c>
      <c r="H927" s="123">
        <f t="shared" si="289"/>
        <v>0</v>
      </c>
      <c r="I927" s="123">
        <f t="shared" si="290"/>
        <v>0</v>
      </c>
      <c r="J927" s="123">
        <v>0</v>
      </c>
      <c r="K927" s="123">
        <f t="shared" si="291"/>
        <v>0</v>
      </c>
      <c r="M927" s="124" t="s">
        <v>8</v>
      </c>
      <c r="N927" s="123">
        <f t="shared" si="292"/>
        <v>0</v>
      </c>
      <c r="Y927" s="123">
        <f t="shared" si="293"/>
        <v>0</v>
      </c>
      <c r="Z927" s="123">
        <f t="shared" si="294"/>
        <v>0</v>
      </c>
      <c r="AA927" s="123">
        <f t="shared" si="295"/>
        <v>0</v>
      </c>
      <c r="AC927" s="125">
        <v>20</v>
      </c>
      <c r="AD927" s="125">
        <f t="shared" si="296"/>
        <v>0</v>
      </c>
      <c r="AE927" s="125">
        <f t="shared" si="297"/>
        <v>0</v>
      </c>
    </row>
    <row r="928" spans="1:31" s="90" customFormat="1" ht="11.25">
      <c r="A928" s="122" t="s">
        <v>727</v>
      </c>
      <c r="B928" s="122" t="s">
        <v>1794</v>
      </c>
      <c r="C928" s="122" t="s">
        <v>3018</v>
      </c>
      <c r="D928" s="122" t="s">
        <v>3456</v>
      </c>
      <c r="E928" s="123">
        <v>8</v>
      </c>
      <c r="F928" s="123">
        <v>0</v>
      </c>
      <c r="G928" s="123">
        <f t="shared" si="288"/>
        <v>0</v>
      </c>
      <c r="H928" s="123">
        <f t="shared" si="289"/>
        <v>0</v>
      </c>
      <c r="I928" s="123">
        <f t="shared" si="290"/>
        <v>0</v>
      </c>
      <c r="J928" s="123">
        <v>0</v>
      </c>
      <c r="K928" s="123">
        <f t="shared" si="291"/>
        <v>0</v>
      </c>
      <c r="M928" s="124" t="s">
        <v>8</v>
      </c>
      <c r="N928" s="123">
        <f t="shared" si="292"/>
        <v>0</v>
      </c>
      <c r="Y928" s="123">
        <f t="shared" si="293"/>
        <v>0</v>
      </c>
      <c r="Z928" s="123">
        <f t="shared" si="294"/>
        <v>0</v>
      </c>
      <c r="AA928" s="123">
        <f t="shared" si="295"/>
        <v>0</v>
      </c>
      <c r="AC928" s="125">
        <v>20</v>
      </c>
      <c r="AD928" s="125">
        <f t="shared" si="296"/>
        <v>0</v>
      </c>
      <c r="AE928" s="125">
        <f t="shared" si="297"/>
        <v>0</v>
      </c>
    </row>
    <row r="929" spans="1:31" s="90" customFormat="1" ht="11.25">
      <c r="A929" s="122" t="s">
        <v>728</v>
      </c>
      <c r="B929" s="122" t="s">
        <v>1795</v>
      </c>
      <c r="C929" s="122" t="s">
        <v>3019</v>
      </c>
      <c r="D929" s="122" t="s">
        <v>3456</v>
      </c>
      <c r="E929" s="123">
        <v>20</v>
      </c>
      <c r="F929" s="123">
        <v>0</v>
      </c>
      <c r="G929" s="123">
        <f t="shared" si="288"/>
        <v>0</v>
      </c>
      <c r="H929" s="123">
        <f t="shared" si="289"/>
        <v>0</v>
      </c>
      <c r="I929" s="123">
        <f t="shared" si="290"/>
        <v>0</v>
      </c>
      <c r="J929" s="123">
        <v>0</v>
      </c>
      <c r="K929" s="123">
        <f t="shared" si="291"/>
        <v>0</v>
      </c>
      <c r="M929" s="124" t="s">
        <v>8</v>
      </c>
      <c r="N929" s="123">
        <f t="shared" si="292"/>
        <v>0</v>
      </c>
      <c r="Y929" s="123">
        <f t="shared" si="293"/>
        <v>0</v>
      </c>
      <c r="Z929" s="123">
        <f t="shared" si="294"/>
        <v>0</v>
      </c>
      <c r="AA929" s="123">
        <f t="shared" si="295"/>
        <v>0</v>
      </c>
      <c r="AC929" s="125">
        <v>20</v>
      </c>
      <c r="AD929" s="125">
        <f t="shared" si="296"/>
        <v>0</v>
      </c>
      <c r="AE929" s="125">
        <f t="shared" si="297"/>
        <v>0</v>
      </c>
    </row>
    <row r="930" spans="1:31" s="90" customFormat="1" ht="11.25">
      <c r="A930" s="122" t="s">
        <v>729</v>
      </c>
      <c r="B930" s="122" t="s">
        <v>1796</v>
      </c>
      <c r="C930" s="122" t="s">
        <v>3020</v>
      </c>
      <c r="D930" s="122" t="s">
        <v>3456</v>
      </c>
      <c r="E930" s="123">
        <v>12</v>
      </c>
      <c r="F930" s="123">
        <v>0</v>
      </c>
      <c r="G930" s="123">
        <f t="shared" si="288"/>
        <v>0</v>
      </c>
      <c r="H930" s="123">
        <f t="shared" si="289"/>
        <v>0</v>
      </c>
      <c r="I930" s="123">
        <f t="shared" si="290"/>
        <v>0</v>
      </c>
      <c r="J930" s="123">
        <v>0</v>
      </c>
      <c r="K930" s="123">
        <f t="shared" si="291"/>
        <v>0</v>
      </c>
      <c r="M930" s="124" t="s">
        <v>8</v>
      </c>
      <c r="N930" s="123">
        <f t="shared" si="292"/>
        <v>0</v>
      </c>
      <c r="Y930" s="123">
        <f t="shared" si="293"/>
        <v>0</v>
      </c>
      <c r="Z930" s="123">
        <f t="shared" si="294"/>
        <v>0</v>
      </c>
      <c r="AA930" s="123">
        <f t="shared" si="295"/>
        <v>0</v>
      </c>
      <c r="AC930" s="125">
        <v>20</v>
      </c>
      <c r="AD930" s="125">
        <f t="shared" si="296"/>
        <v>0</v>
      </c>
      <c r="AE930" s="125">
        <f t="shared" si="297"/>
        <v>0</v>
      </c>
    </row>
    <row r="931" s="90" customFormat="1" ht="11.25">
      <c r="C931" s="126" t="s">
        <v>3021</v>
      </c>
    </row>
    <row r="932" spans="1:31" s="90" customFormat="1" ht="11.25">
      <c r="A932" s="122" t="s">
        <v>730</v>
      </c>
      <c r="B932" s="122" t="s">
        <v>1797</v>
      </c>
      <c r="C932" s="122" t="s">
        <v>3022</v>
      </c>
      <c r="D932" s="122" t="s">
        <v>3456</v>
      </c>
      <c r="E932" s="123">
        <v>24</v>
      </c>
      <c r="F932" s="123">
        <v>0</v>
      </c>
      <c r="G932" s="123">
        <f>ROUND(E932*AD932,2)</f>
        <v>0</v>
      </c>
      <c r="H932" s="123">
        <f>I932-G932</f>
        <v>0</v>
      </c>
      <c r="I932" s="123">
        <f>ROUND(E932*F932,2)</f>
        <v>0</v>
      </c>
      <c r="J932" s="123">
        <v>0</v>
      </c>
      <c r="K932" s="123">
        <f>E932*J932</f>
        <v>0</v>
      </c>
      <c r="M932" s="124" t="s">
        <v>8</v>
      </c>
      <c r="N932" s="123">
        <f>IF(M932="5",H932,0)</f>
        <v>0</v>
      </c>
      <c r="Y932" s="123">
        <f>IF(AC932=0,I932,0)</f>
        <v>0</v>
      </c>
      <c r="Z932" s="123">
        <f>IF(AC932=14,I932,0)</f>
        <v>0</v>
      </c>
      <c r="AA932" s="123">
        <f>IF(AC932=20,I932,0)</f>
        <v>0</v>
      </c>
      <c r="AC932" s="125">
        <v>20</v>
      </c>
      <c r="AD932" s="125">
        <f>F932*0</f>
        <v>0</v>
      </c>
      <c r="AE932" s="125">
        <f>F932*(1-0)</f>
        <v>0</v>
      </c>
    </row>
    <row r="933" s="90" customFormat="1" ht="11.25">
      <c r="C933" s="126" t="s">
        <v>3021</v>
      </c>
    </row>
    <row r="934" spans="1:31" s="90" customFormat="1" ht="11.25">
      <c r="A934" s="122" t="s">
        <v>731</v>
      </c>
      <c r="B934" s="122" t="s">
        <v>1798</v>
      </c>
      <c r="C934" s="122" t="s">
        <v>3023</v>
      </c>
      <c r="D934" s="122" t="s">
        <v>3456</v>
      </c>
      <c r="E934" s="123">
        <v>1</v>
      </c>
      <c r="F934" s="123">
        <v>0</v>
      </c>
      <c r="G934" s="123">
        <f aca="true" t="shared" si="298" ref="G934:G939">ROUND(E934*AD934,2)</f>
        <v>0</v>
      </c>
      <c r="H934" s="123">
        <f aca="true" t="shared" si="299" ref="H934:H939">I934-G934</f>
        <v>0</v>
      </c>
      <c r="I934" s="123">
        <f aca="true" t="shared" si="300" ref="I934:I939">ROUND(E934*F934,2)</f>
        <v>0</v>
      </c>
      <c r="J934" s="123">
        <v>0</v>
      </c>
      <c r="K934" s="123">
        <f aca="true" t="shared" si="301" ref="K934:K939">E934*J934</f>
        <v>0</v>
      </c>
      <c r="M934" s="124" t="s">
        <v>8</v>
      </c>
      <c r="N934" s="123">
        <f aca="true" t="shared" si="302" ref="N934:N939">IF(M934="5",H934,0)</f>
        <v>0</v>
      </c>
      <c r="Y934" s="123">
        <f aca="true" t="shared" si="303" ref="Y934:Y939">IF(AC934=0,I934,0)</f>
        <v>0</v>
      </c>
      <c r="Z934" s="123">
        <f aca="true" t="shared" si="304" ref="Z934:Z939">IF(AC934=14,I934,0)</f>
        <v>0</v>
      </c>
      <c r="AA934" s="123">
        <f aca="true" t="shared" si="305" ref="AA934:AA939">IF(AC934=20,I934,0)</f>
        <v>0</v>
      </c>
      <c r="AC934" s="125">
        <v>20</v>
      </c>
      <c r="AD934" s="125">
        <f>F934*0</f>
        <v>0</v>
      </c>
      <c r="AE934" s="125">
        <f>F934*(1-0)</f>
        <v>0</v>
      </c>
    </row>
    <row r="935" spans="1:31" s="90" customFormat="1" ht="11.25">
      <c r="A935" s="122" t="s">
        <v>732</v>
      </c>
      <c r="B935" s="122" t="s">
        <v>1799</v>
      </c>
      <c r="C935" s="122" t="s">
        <v>3024</v>
      </c>
      <c r="D935" s="122" t="s">
        <v>3456</v>
      </c>
      <c r="E935" s="123">
        <v>12</v>
      </c>
      <c r="F935" s="123">
        <v>0</v>
      </c>
      <c r="G935" s="123">
        <f t="shared" si="298"/>
        <v>0</v>
      </c>
      <c r="H935" s="123">
        <f t="shared" si="299"/>
        <v>0</v>
      </c>
      <c r="I935" s="123">
        <f t="shared" si="300"/>
        <v>0</v>
      </c>
      <c r="J935" s="123">
        <v>0</v>
      </c>
      <c r="K935" s="123">
        <f t="shared" si="301"/>
        <v>0</v>
      </c>
      <c r="M935" s="124" t="s">
        <v>8</v>
      </c>
      <c r="N935" s="123">
        <f t="shared" si="302"/>
        <v>0</v>
      </c>
      <c r="Y935" s="123">
        <f t="shared" si="303"/>
        <v>0</v>
      </c>
      <c r="Z935" s="123">
        <f t="shared" si="304"/>
        <v>0</v>
      </c>
      <c r="AA935" s="123">
        <f t="shared" si="305"/>
        <v>0</v>
      </c>
      <c r="AC935" s="125">
        <v>20</v>
      </c>
      <c r="AD935" s="125">
        <f>F935*0</f>
        <v>0</v>
      </c>
      <c r="AE935" s="125">
        <f>F935*(1-0)</f>
        <v>0</v>
      </c>
    </row>
    <row r="936" spans="1:31" s="90" customFormat="1" ht="11.25">
      <c r="A936" s="122" t="s">
        <v>733</v>
      </c>
      <c r="B936" s="122" t="s">
        <v>1800</v>
      </c>
      <c r="C936" s="122" t="s">
        <v>3025</v>
      </c>
      <c r="D936" s="122" t="s">
        <v>3456</v>
      </c>
      <c r="E936" s="123">
        <v>85</v>
      </c>
      <c r="F936" s="123">
        <v>0</v>
      </c>
      <c r="G936" s="123">
        <f t="shared" si="298"/>
        <v>0</v>
      </c>
      <c r="H936" s="123">
        <f t="shared" si="299"/>
        <v>0</v>
      </c>
      <c r="I936" s="123">
        <f t="shared" si="300"/>
        <v>0</v>
      </c>
      <c r="J936" s="123">
        <v>0</v>
      </c>
      <c r="K936" s="123">
        <f t="shared" si="301"/>
        <v>0</v>
      </c>
      <c r="M936" s="124" t="s">
        <v>8</v>
      </c>
      <c r="N936" s="123">
        <f t="shared" si="302"/>
        <v>0</v>
      </c>
      <c r="Y936" s="123">
        <f t="shared" si="303"/>
        <v>0</v>
      </c>
      <c r="Z936" s="123">
        <f t="shared" si="304"/>
        <v>0</v>
      </c>
      <c r="AA936" s="123">
        <f t="shared" si="305"/>
        <v>0</v>
      </c>
      <c r="AC936" s="125">
        <v>20</v>
      </c>
      <c r="AD936" s="125">
        <f>F936*0</f>
        <v>0</v>
      </c>
      <c r="AE936" s="125">
        <f>F936*(1-0)</f>
        <v>0</v>
      </c>
    </row>
    <row r="937" spans="1:31" s="90" customFormat="1" ht="11.25">
      <c r="A937" s="122" t="s">
        <v>734</v>
      </c>
      <c r="B937" s="122" t="s">
        <v>1801</v>
      </c>
      <c r="C937" s="122" t="s">
        <v>3026</v>
      </c>
      <c r="D937" s="122" t="s">
        <v>3456</v>
      </c>
      <c r="E937" s="123">
        <v>1</v>
      </c>
      <c r="F937" s="123">
        <v>0</v>
      </c>
      <c r="G937" s="123">
        <f t="shared" si="298"/>
        <v>0</v>
      </c>
      <c r="H937" s="123">
        <f t="shared" si="299"/>
        <v>0</v>
      </c>
      <c r="I937" s="123">
        <f t="shared" si="300"/>
        <v>0</v>
      </c>
      <c r="J937" s="123">
        <v>0</v>
      </c>
      <c r="K937" s="123">
        <f t="shared" si="301"/>
        <v>0</v>
      </c>
      <c r="M937" s="124" t="s">
        <v>8</v>
      </c>
      <c r="N937" s="123">
        <f t="shared" si="302"/>
        <v>0</v>
      </c>
      <c r="Y937" s="123">
        <f t="shared" si="303"/>
        <v>0</v>
      </c>
      <c r="Z937" s="123">
        <f t="shared" si="304"/>
        <v>0</v>
      </c>
      <c r="AA937" s="123">
        <f t="shared" si="305"/>
        <v>0</v>
      </c>
      <c r="AC937" s="125">
        <v>20</v>
      </c>
      <c r="AD937" s="125">
        <f>F937*0.999406993649093</f>
        <v>0</v>
      </c>
      <c r="AE937" s="125">
        <f>F937*(1-0.999406993649093)</f>
        <v>0</v>
      </c>
    </row>
    <row r="938" spans="1:31" s="90" customFormat="1" ht="11.25">
      <c r="A938" s="122" t="s">
        <v>735</v>
      </c>
      <c r="B938" s="122" t="s">
        <v>1802</v>
      </c>
      <c r="C938" s="122" t="s">
        <v>3027</v>
      </c>
      <c r="D938" s="122" t="s">
        <v>3456</v>
      </c>
      <c r="E938" s="123">
        <v>2</v>
      </c>
      <c r="F938" s="123">
        <v>0</v>
      </c>
      <c r="G938" s="123">
        <f t="shared" si="298"/>
        <v>0</v>
      </c>
      <c r="H938" s="123">
        <f t="shared" si="299"/>
        <v>0</v>
      </c>
      <c r="I938" s="123">
        <f t="shared" si="300"/>
        <v>0</v>
      </c>
      <c r="J938" s="123">
        <v>0</v>
      </c>
      <c r="K938" s="123">
        <f t="shared" si="301"/>
        <v>0</v>
      </c>
      <c r="M938" s="124" t="s">
        <v>8</v>
      </c>
      <c r="N938" s="123">
        <f t="shared" si="302"/>
        <v>0</v>
      </c>
      <c r="Y938" s="123">
        <f t="shared" si="303"/>
        <v>0</v>
      </c>
      <c r="Z938" s="123">
        <f t="shared" si="304"/>
        <v>0</v>
      </c>
      <c r="AA938" s="123">
        <f t="shared" si="305"/>
        <v>0</v>
      </c>
      <c r="AC938" s="125">
        <v>20</v>
      </c>
      <c r="AD938" s="125">
        <f>F938*0.917642429317264</f>
        <v>0</v>
      </c>
      <c r="AE938" s="125">
        <f>F938*(1-0.917642429317264)</f>
        <v>0</v>
      </c>
    </row>
    <row r="939" spans="1:31" s="90" customFormat="1" ht="11.25">
      <c r="A939" s="122" t="s">
        <v>736</v>
      </c>
      <c r="B939" s="122" t="s">
        <v>1803</v>
      </c>
      <c r="C939" s="122" t="s">
        <v>3028</v>
      </c>
      <c r="D939" s="122" t="s">
        <v>3456</v>
      </c>
      <c r="E939" s="123">
        <v>4</v>
      </c>
      <c r="F939" s="123">
        <v>0</v>
      </c>
      <c r="G939" s="123">
        <f t="shared" si="298"/>
        <v>0</v>
      </c>
      <c r="H939" s="123">
        <f t="shared" si="299"/>
        <v>0</v>
      </c>
      <c r="I939" s="123">
        <f t="shared" si="300"/>
        <v>0</v>
      </c>
      <c r="J939" s="123">
        <v>0</v>
      </c>
      <c r="K939" s="123">
        <f t="shared" si="301"/>
        <v>0</v>
      </c>
      <c r="M939" s="124" t="s">
        <v>8</v>
      </c>
      <c r="N939" s="123">
        <f t="shared" si="302"/>
        <v>0</v>
      </c>
      <c r="Y939" s="123">
        <f t="shared" si="303"/>
        <v>0</v>
      </c>
      <c r="Z939" s="123">
        <f t="shared" si="304"/>
        <v>0</v>
      </c>
      <c r="AA939" s="123">
        <f t="shared" si="305"/>
        <v>0</v>
      </c>
      <c r="AC939" s="125">
        <v>20</v>
      </c>
      <c r="AD939" s="125">
        <f>F939*0.902037678212994</f>
        <v>0</v>
      </c>
      <c r="AE939" s="125">
        <f>F939*(1-0.902037678212994)</f>
        <v>0</v>
      </c>
    </row>
    <row r="940" s="90" customFormat="1" ht="11.25">
      <c r="C940" s="126" t="s">
        <v>3021</v>
      </c>
    </row>
    <row r="941" spans="1:31" s="90" customFormat="1" ht="11.25">
      <c r="A941" s="122" t="s">
        <v>737</v>
      </c>
      <c r="B941" s="122" t="s">
        <v>1804</v>
      </c>
      <c r="C941" s="122" t="s">
        <v>3029</v>
      </c>
      <c r="D941" s="122" t="s">
        <v>3456</v>
      </c>
      <c r="E941" s="123">
        <v>3</v>
      </c>
      <c r="F941" s="123">
        <v>0</v>
      </c>
      <c r="G941" s="123">
        <f>ROUND(E941*AD941,2)</f>
        <v>0</v>
      </c>
      <c r="H941" s="123">
        <f>I941-G941</f>
        <v>0</v>
      </c>
      <c r="I941" s="123">
        <f>ROUND(E941*F941,2)</f>
        <v>0</v>
      </c>
      <c r="J941" s="123">
        <v>0</v>
      </c>
      <c r="K941" s="123">
        <f>E941*J941</f>
        <v>0</v>
      </c>
      <c r="M941" s="124" t="s">
        <v>8</v>
      </c>
      <c r="N941" s="123">
        <f>IF(M941="5",H941,0)</f>
        <v>0</v>
      </c>
      <c r="Y941" s="123">
        <f>IF(AC941=0,I941,0)</f>
        <v>0</v>
      </c>
      <c r="Z941" s="123">
        <f>IF(AC941=14,I941,0)</f>
        <v>0</v>
      </c>
      <c r="AA941" s="123">
        <f>IF(AC941=20,I941,0)</f>
        <v>0</v>
      </c>
      <c r="AC941" s="125">
        <v>20</v>
      </c>
      <c r="AD941" s="125">
        <f>F941*0.858749722332541</f>
        <v>0</v>
      </c>
      <c r="AE941" s="125">
        <f>F941*(1-0.858749722332541)</f>
        <v>0</v>
      </c>
    </row>
    <row r="942" s="90" customFormat="1" ht="11.25">
      <c r="C942" s="126" t="s">
        <v>3021</v>
      </c>
    </row>
    <row r="943" spans="1:31" s="90" customFormat="1" ht="11.25">
      <c r="A943" s="122" t="s">
        <v>738</v>
      </c>
      <c r="B943" s="122" t="s">
        <v>1805</v>
      </c>
      <c r="C943" s="122" t="s">
        <v>3030</v>
      </c>
      <c r="D943" s="122" t="s">
        <v>3456</v>
      </c>
      <c r="E943" s="123">
        <v>2</v>
      </c>
      <c r="F943" s="123">
        <v>0</v>
      </c>
      <c r="G943" s="123">
        <f>ROUND(E943*AD943,2)</f>
        <v>0</v>
      </c>
      <c r="H943" s="123">
        <f>I943-G943</f>
        <v>0</v>
      </c>
      <c r="I943" s="123">
        <f>ROUND(E943*F943,2)</f>
        <v>0</v>
      </c>
      <c r="J943" s="123">
        <v>0</v>
      </c>
      <c r="K943" s="123">
        <f>E943*J943</f>
        <v>0</v>
      </c>
      <c r="M943" s="124" t="s">
        <v>8</v>
      </c>
      <c r="N943" s="123">
        <f>IF(M943="5",H943,0)</f>
        <v>0</v>
      </c>
      <c r="Y943" s="123">
        <f>IF(AC943=0,I943,0)</f>
        <v>0</v>
      </c>
      <c r="Z943" s="123">
        <f>IF(AC943=14,I943,0)</f>
        <v>0</v>
      </c>
      <c r="AA943" s="123">
        <f>IF(AC943=20,I943,0)</f>
        <v>0</v>
      </c>
      <c r="AC943" s="125">
        <v>20</v>
      </c>
      <c r="AD943" s="125">
        <f>F943*0.890509309996418</f>
        <v>0</v>
      </c>
      <c r="AE943" s="125">
        <f>F943*(1-0.890509309996418)</f>
        <v>0</v>
      </c>
    </row>
    <row r="944" s="90" customFormat="1" ht="11.25">
      <c r="C944" s="126" t="s">
        <v>3021</v>
      </c>
    </row>
    <row r="945" spans="1:31" s="90" customFormat="1" ht="11.25">
      <c r="A945" s="122" t="s">
        <v>739</v>
      </c>
      <c r="B945" s="122" t="s">
        <v>1806</v>
      </c>
      <c r="C945" s="122" t="s">
        <v>3031</v>
      </c>
      <c r="D945" s="122" t="s">
        <v>3456</v>
      </c>
      <c r="E945" s="123">
        <v>57</v>
      </c>
      <c r="F945" s="123">
        <v>0</v>
      </c>
      <c r="G945" s="123">
        <f>ROUND(E945*AD945,2)</f>
        <v>0</v>
      </c>
      <c r="H945" s="123">
        <f>I945-G945</f>
        <v>0</v>
      </c>
      <c r="I945" s="123">
        <f>ROUND(E945*F945,2)</f>
        <v>0</v>
      </c>
      <c r="J945" s="123">
        <v>0</v>
      </c>
      <c r="K945" s="123">
        <f>E945*J945</f>
        <v>0</v>
      </c>
      <c r="M945" s="124" t="s">
        <v>8</v>
      </c>
      <c r="N945" s="123">
        <f>IF(M945="5",H945,0)</f>
        <v>0</v>
      </c>
      <c r="Y945" s="123">
        <f>IF(AC945=0,I945,0)</f>
        <v>0</v>
      </c>
      <c r="Z945" s="123">
        <f>IF(AC945=14,I945,0)</f>
        <v>0</v>
      </c>
      <c r="AA945" s="123">
        <f>IF(AC945=20,I945,0)</f>
        <v>0</v>
      </c>
      <c r="AC945" s="125">
        <v>20</v>
      </c>
      <c r="AD945" s="125">
        <f>F945*0.852985588948171</f>
        <v>0</v>
      </c>
      <c r="AE945" s="125">
        <f>F945*(1-0.852985588948171)</f>
        <v>0</v>
      </c>
    </row>
    <row r="946" s="90" customFormat="1" ht="11.25">
      <c r="C946" s="126" t="s">
        <v>3032</v>
      </c>
    </row>
    <row r="947" spans="1:31" s="90" customFormat="1" ht="11.25">
      <c r="A947" s="122" t="s">
        <v>740</v>
      </c>
      <c r="B947" s="122" t="s">
        <v>1807</v>
      </c>
      <c r="C947" s="122" t="s">
        <v>3033</v>
      </c>
      <c r="D947" s="122" t="s">
        <v>3456</v>
      </c>
      <c r="E947" s="123">
        <v>2</v>
      </c>
      <c r="F947" s="123">
        <v>0</v>
      </c>
      <c r="G947" s="123">
        <f>ROUND(E947*AD947,2)</f>
        <v>0</v>
      </c>
      <c r="H947" s="123">
        <f>I947-G947</f>
        <v>0</v>
      </c>
      <c r="I947" s="123">
        <f>ROUND(E947*F947,2)</f>
        <v>0</v>
      </c>
      <c r="J947" s="123">
        <v>0</v>
      </c>
      <c r="K947" s="123">
        <f>E947*J947</f>
        <v>0</v>
      </c>
      <c r="M947" s="124" t="s">
        <v>8</v>
      </c>
      <c r="N947" s="123">
        <f>IF(M947="5",H947,0)</f>
        <v>0</v>
      </c>
      <c r="Y947" s="123">
        <f>IF(AC947=0,I947,0)</f>
        <v>0</v>
      </c>
      <c r="Z947" s="123">
        <f>IF(AC947=14,I947,0)</f>
        <v>0</v>
      </c>
      <c r="AA947" s="123">
        <f>IF(AC947=20,I947,0)</f>
        <v>0</v>
      </c>
      <c r="AC947" s="125">
        <v>20</v>
      </c>
      <c r="AD947" s="125">
        <f>F947*0.60202475564969</f>
        <v>0</v>
      </c>
      <c r="AE947" s="125">
        <f>F947*(1-0.60202475564969)</f>
        <v>0</v>
      </c>
    </row>
    <row r="948" s="90" customFormat="1" ht="11.25">
      <c r="C948" s="126" t="s">
        <v>3021</v>
      </c>
    </row>
    <row r="949" spans="1:31" s="90" customFormat="1" ht="11.25">
      <c r="A949" s="122" t="s">
        <v>741</v>
      </c>
      <c r="B949" s="122" t="s">
        <v>1808</v>
      </c>
      <c r="C949" s="122" t="s">
        <v>3034</v>
      </c>
      <c r="D949" s="122" t="s">
        <v>3456</v>
      </c>
      <c r="E949" s="123">
        <v>18</v>
      </c>
      <c r="F949" s="123">
        <v>0</v>
      </c>
      <c r="G949" s="123">
        <f>ROUND(E949*AD949,2)</f>
        <v>0</v>
      </c>
      <c r="H949" s="123">
        <f>I949-G949</f>
        <v>0</v>
      </c>
      <c r="I949" s="123">
        <f>ROUND(E949*F949,2)</f>
        <v>0</v>
      </c>
      <c r="J949" s="123">
        <v>0</v>
      </c>
      <c r="K949" s="123">
        <f>E949*J949</f>
        <v>0</v>
      </c>
      <c r="M949" s="124" t="s">
        <v>8</v>
      </c>
      <c r="N949" s="123">
        <f>IF(M949="5",H949,0)</f>
        <v>0</v>
      </c>
      <c r="Y949" s="123">
        <f>IF(AC949=0,I949,0)</f>
        <v>0</v>
      </c>
      <c r="Z949" s="123">
        <f>IF(AC949=14,I949,0)</f>
        <v>0</v>
      </c>
      <c r="AA949" s="123">
        <f>IF(AC949=20,I949,0)</f>
        <v>0</v>
      </c>
      <c r="AC949" s="125">
        <v>20</v>
      </c>
      <c r="AD949" s="125">
        <f>F949*0.861402898332659</f>
        <v>0</v>
      </c>
      <c r="AE949" s="125">
        <f>F949*(1-0.861402898332659)</f>
        <v>0</v>
      </c>
    </row>
    <row r="950" s="90" customFormat="1" ht="11.25">
      <c r="C950" s="126" t="s">
        <v>3021</v>
      </c>
    </row>
    <row r="951" spans="1:31" s="90" customFormat="1" ht="11.25">
      <c r="A951" s="122" t="s">
        <v>742</v>
      </c>
      <c r="B951" s="122" t="s">
        <v>1809</v>
      </c>
      <c r="C951" s="122" t="s">
        <v>3035</v>
      </c>
      <c r="D951" s="122" t="s">
        <v>3456</v>
      </c>
      <c r="E951" s="123">
        <v>26</v>
      </c>
      <c r="F951" s="123">
        <v>0</v>
      </c>
      <c r="G951" s="123">
        <f>ROUND(E951*AD951,2)</f>
        <v>0</v>
      </c>
      <c r="H951" s="123">
        <f>I951-G951</f>
        <v>0</v>
      </c>
      <c r="I951" s="123">
        <f>ROUND(E951*F951,2)</f>
        <v>0</v>
      </c>
      <c r="J951" s="123">
        <v>0</v>
      </c>
      <c r="K951" s="123">
        <f>E951*J951</f>
        <v>0</v>
      </c>
      <c r="M951" s="124" t="s">
        <v>8</v>
      </c>
      <c r="N951" s="123">
        <f>IF(M951="5",H951,0)</f>
        <v>0</v>
      </c>
      <c r="Y951" s="123">
        <f>IF(AC951=0,I951,0)</f>
        <v>0</v>
      </c>
      <c r="Z951" s="123">
        <f>IF(AC951=14,I951,0)</f>
        <v>0</v>
      </c>
      <c r="AA951" s="123">
        <f>IF(AC951=20,I951,0)</f>
        <v>0</v>
      </c>
      <c r="AC951" s="125">
        <v>20</v>
      </c>
      <c r="AD951" s="125">
        <f>F951*0.87498020868979</f>
        <v>0</v>
      </c>
      <c r="AE951" s="125">
        <f>F951*(1-0.87498020868979)</f>
        <v>0</v>
      </c>
    </row>
    <row r="952" s="90" customFormat="1" ht="11.25">
      <c r="C952" s="126" t="s">
        <v>3021</v>
      </c>
    </row>
    <row r="953" spans="1:31" s="90" customFormat="1" ht="11.25">
      <c r="A953" s="122" t="s">
        <v>743</v>
      </c>
      <c r="B953" s="122" t="s">
        <v>1810</v>
      </c>
      <c r="C953" s="122" t="s">
        <v>3036</v>
      </c>
      <c r="D953" s="122" t="s">
        <v>3456</v>
      </c>
      <c r="E953" s="123">
        <v>4</v>
      </c>
      <c r="F953" s="123">
        <v>0</v>
      </c>
      <c r="G953" s="123">
        <f>ROUND(E953*AD953,2)</f>
        <v>0</v>
      </c>
      <c r="H953" s="123">
        <f>I953-G953</f>
        <v>0</v>
      </c>
      <c r="I953" s="123">
        <f>ROUND(E953*F953,2)</f>
        <v>0</v>
      </c>
      <c r="J953" s="123">
        <v>0</v>
      </c>
      <c r="K953" s="123">
        <f>E953*J953</f>
        <v>0</v>
      </c>
      <c r="M953" s="124" t="s">
        <v>8</v>
      </c>
      <c r="N953" s="123">
        <f>IF(M953="5",H953,0)</f>
        <v>0</v>
      </c>
      <c r="Y953" s="123">
        <f>IF(AC953=0,I953,0)</f>
        <v>0</v>
      </c>
      <c r="Z953" s="123">
        <f>IF(AC953=14,I953,0)</f>
        <v>0</v>
      </c>
      <c r="AA953" s="123">
        <f>IF(AC953=20,I953,0)</f>
        <v>0</v>
      </c>
      <c r="AC953" s="125">
        <v>20</v>
      </c>
      <c r="AD953" s="125">
        <f>F953*0.818084529232964</f>
        <v>0</v>
      </c>
      <c r="AE953" s="125">
        <f>F953*(1-0.818084529232964)</f>
        <v>0</v>
      </c>
    </row>
    <row r="954" s="90" customFormat="1" ht="11.25">
      <c r="C954" s="126" t="s">
        <v>3021</v>
      </c>
    </row>
    <row r="955" spans="1:31" s="90" customFormat="1" ht="11.25">
      <c r="A955" s="122" t="s">
        <v>744</v>
      </c>
      <c r="B955" s="122" t="s">
        <v>1811</v>
      </c>
      <c r="C955" s="122" t="s">
        <v>3037</v>
      </c>
      <c r="D955" s="122" t="s">
        <v>3456</v>
      </c>
      <c r="E955" s="123">
        <v>10</v>
      </c>
      <c r="F955" s="123">
        <v>0</v>
      </c>
      <c r="G955" s="123">
        <f>ROUND(E955*AD955,2)</f>
        <v>0</v>
      </c>
      <c r="H955" s="123">
        <f>I955-G955</f>
        <v>0</v>
      </c>
      <c r="I955" s="123">
        <f>ROUND(E955*F955,2)</f>
        <v>0</v>
      </c>
      <c r="J955" s="123">
        <v>0</v>
      </c>
      <c r="K955" s="123">
        <f>E955*J955</f>
        <v>0</v>
      </c>
      <c r="M955" s="124" t="s">
        <v>8</v>
      </c>
      <c r="N955" s="123">
        <f>IF(M955="5",H955,0)</f>
        <v>0</v>
      </c>
      <c r="Y955" s="123">
        <f>IF(AC955=0,I955,0)</f>
        <v>0</v>
      </c>
      <c r="Z955" s="123">
        <f>IF(AC955=14,I955,0)</f>
        <v>0</v>
      </c>
      <c r="AA955" s="123">
        <f>IF(AC955=20,I955,0)</f>
        <v>0</v>
      </c>
      <c r="AC955" s="125">
        <v>20</v>
      </c>
      <c r="AD955" s="125">
        <f>F955*0.887392522461598</f>
        <v>0</v>
      </c>
      <c r="AE955" s="125">
        <f>F955*(1-0.887392522461598)</f>
        <v>0</v>
      </c>
    </row>
    <row r="956" s="90" customFormat="1" ht="11.25">
      <c r="C956" s="126" t="s">
        <v>3021</v>
      </c>
    </row>
    <row r="957" spans="1:31" s="90" customFormat="1" ht="11.25">
      <c r="A957" s="122" t="s">
        <v>745</v>
      </c>
      <c r="B957" s="122" t="s">
        <v>1812</v>
      </c>
      <c r="C957" s="122" t="s">
        <v>3038</v>
      </c>
      <c r="D957" s="122" t="s">
        <v>3456</v>
      </c>
      <c r="E957" s="123">
        <v>7</v>
      </c>
      <c r="F957" s="123">
        <v>0</v>
      </c>
      <c r="G957" s="123">
        <f>ROUND(E957*AD957,2)</f>
        <v>0</v>
      </c>
      <c r="H957" s="123">
        <f>I957-G957</f>
        <v>0</v>
      </c>
      <c r="I957" s="123">
        <f>ROUND(E957*F957,2)</f>
        <v>0</v>
      </c>
      <c r="J957" s="123">
        <v>0</v>
      </c>
      <c r="K957" s="123">
        <f>E957*J957</f>
        <v>0</v>
      </c>
      <c r="M957" s="124" t="s">
        <v>8</v>
      </c>
      <c r="N957" s="123">
        <f>IF(M957="5",H957,0)</f>
        <v>0</v>
      </c>
      <c r="Y957" s="123">
        <f>IF(AC957=0,I957,0)</f>
        <v>0</v>
      </c>
      <c r="Z957" s="123">
        <f>IF(AC957=14,I957,0)</f>
        <v>0</v>
      </c>
      <c r="AA957" s="123">
        <f>IF(AC957=20,I957,0)</f>
        <v>0</v>
      </c>
      <c r="AC957" s="125">
        <v>20</v>
      </c>
      <c r="AD957" s="125">
        <f>F957*0.854692853702206</f>
        <v>0</v>
      </c>
      <c r="AE957" s="125">
        <f>F957*(1-0.854692853702206)</f>
        <v>0</v>
      </c>
    </row>
    <row r="958" s="90" customFormat="1" ht="11.25">
      <c r="C958" s="126" t="s">
        <v>3021</v>
      </c>
    </row>
    <row r="959" spans="1:31" s="90" customFormat="1" ht="11.25">
      <c r="A959" s="122" t="s">
        <v>746</v>
      </c>
      <c r="B959" s="122" t="s">
        <v>1813</v>
      </c>
      <c r="C959" s="122" t="s">
        <v>3039</v>
      </c>
      <c r="D959" s="122" t="s">
        <v>3456</v>
      </c>
      <c r="E959" s="123">
        <v>2</v>
      </c>
      <c r="F959" s="123">
        <v>0</v>
      </c>
      <c r="G959" s="123">
        <f>ROUND(E959*AD959,2)</f>
        <v>0</v>
      </c>
      <c r="H959" s="123">
        <f>I959-G959</f>
        <v>0</v>
      </c>
      <c r="I959" s="123">
        <f>ROUND(E959*F959,2)</f>
        <v>0</v>
      </c>
      <c r="J959" s="123">
        <v>0</v>
      </c>
      <c r="K959" s="123">
        <f>E959*J959</f>
        <v>0</v>
      </c>
      <c r="M959" s="124" t="s">
        <v>8</v>
      </c>
      <c r="N959" s="123">
        <f>IF(M959="5",H959,0)</f>
        <v>0</v>
      </c>
      <c r="Y959" s="123">
        <f>IF(AC959=0,I959,0)</f>
        <v>0</v>
      </c>
      <c r="Z959" s="123">
        <f>IF(AC959=14,I959,0)</f>
        <v>0</v>
      </c>
      <c r="AA959" s="123">
        <f>IF(AC959=20,I959,0)</f>
        <v>0</v>
      </c>
      <c r="AC959" s="125">
        <v>20</v>
      </c>
      <c r="AD959" s="125">
        <f>F959*0.919051790045011</f>
        <v>0</v>
      </c>
      <c r="AE959" s="125">
        <f>F959*(1-0.919051790045011)</f>
        <v>0</v>
      </c>
    </row>
    <row r="960" s="90" customFormat="1" ht="11.25">
      <c r="C960" s="126" t="s">
        <v>3021</v>
      </c>
    </row>
    <row r="961" spans="1:31" s="90" customFormat="1" ht="11.25">
      <c r="A961" s="122" t="s">
        <v>747</v>
      </c>
      <c r="B961" s="122" t="s">
        <v>1814</v>
      </c>
      <c r="C961" s="122" t="s">
        <v>3040</v>
      </c>
      <c r="D961" s="122" t="s">
        <v>3456</v>
      </c>
      <c r="E961" s="123">
        <v>1</v>
      </c>
      <c r="F961" s="123">
        <v>0</v>
      </c>
      <c r="G961" s="123">
        <f>ROUND(E961*AD961,2)</f>
        <v>0</v>
      </c>
      <c r="H961" s="123">
        <f>I961-G961</f>
        <v>0</v>
      </c>
      <c r="I961" s="123">
        <f>ROUND(E961*F961,2)</f>
        <v>0</v>
      </c>
      <c r="J961" s="123">
        <v>0</v>
      </c>
      <c r="K961" s="123">
        <f>E961*J961</f>
        <v>0</v>
      </c>
      <c r="M961" s="124" t="s">
        <v>8</v>
      </c>
      <c r="N961" s="123">
        <f>IF(M961="5",H961,0)</f>
        <v>0</v>
      </c>
      <c r="Y961" s="123">
        <f>IF(AC961=0,I961,0)</f>
        <v>0</v>
      </c>
      <c r="Z961" s="123">
        <f>IF(AC961=14,I961,0)</f>
        <v>0</v>
      </c>
      <c r="AA961" s="123">
        <f>IF(AC961=20,I961,0)</f>
        <v>0</v>
      </c>
      <c r="AC961" s="125">
        <v>20</v>
      </c>
      <c r="AD961" s="125">
        <f>F961*0.831853939674393</f>
        <v>0</v>
      </c>
      <c r="AE961" s="125">
        <f>F961*(1-0.831853939674393)</f>
        <v>0</v>
      </c>
    </row>
    <row r="962" s="90" customFormat="1" ht="11.25">
      <c r="C962" s="126" t="s">
        <v>3021</v>
      </c>
    </row>
    <row r="963" spans="1:31" s="90" customFormat="1" ht="11.25">
      <c r="A963" s="122" t="s">
        <v>748</v>
      </c>
      <c r="B963" s="122" t="s">
        <v>1815</v>
      </c>
      <c r="C963" s="122" t="s">
        <v>3041</v>
      </c>
      <c r="D963" s="122" t="s">
        <v>3456</v>
      </c>
      <c r="E963" s="123">
        <v>3</v>
      </c>
      <c r="F963" s="123">
        <v>0</v>
      </c>
      <c r="G963" s="123">
        <f>ROUND(E963*AD963,2)</f>
        <v>0</v>
      </c>
      <c r="H963" s="123">
        <f>I963-G963</f>
        <v>0</v>
      </c>
      <c r="I963" s="123">
        <f>ROUND(E963*F963,2)</f>
        <v>0</v>
      </c>
      <c r="J963" s="123">
        <v>0</v>
      </c>
      <c r="K963" s="123">
        <f>E963*J963</f>
        <v>0</v>
      </c>
      <c r="M963" s="124" t="s">
        <v>8</v>
      </c>
      <c r="N963" s="123">
        <f>IF(M963="5",H963,0)</f>
        <v>0</v>
      </c>
      <c r="Y963" s="123">
        <f>IF(AC963=0,I963,0)</f>
        <v>0</v>
      </c>
      <c r="Z963" s="123">
        <f>IF(AC963=14,I963,0)</f>
        <v>0</v>
      </c>
      <c r="AA963" s="123">
        <f>IF(AC963=20,I963,0)</f>
        <v>0</v>
      </c>
      <c r="AC963" s="125">
        <v>20</v>
      </c>
      <c r="AD963" s="125">
        <f>F963*0.770692875003957</f>
        <v>0</v>
      </c>
      <c r="AE963" s="125">
        <f>F963*(1-0.770692875003957)</f>
        <v>0</v>
      </c>
    </row>
    <row r="964" s="90" customFormat="1" ht="11.25">
      <c r="C964" s="126" t="s">
        <v>3021</v>
      </c>
    </row>
    <row r="965" spans="1:31" s="90" customFormat="1" ht="11.25">
      <c r="A965" s="122" t="s">
        <v>749</v>
      </c>
      <c r="B965" s="122" t="s">
        <v>1816</v>
      </c>
      <c r="C965" s="122" t="s">
        <v>3042</v>
      </c>
      <c r="D965" s="122" t="s">
        <v>3456</v>
      </c>
      <c r="E965" s="123">
        <v>3</v>
      </c>
      <c r="F965" s="123">
        <v>0</v>
      </c>
      <c r="G965" s="123">
        <f>ROUND(E965*AD965,2)</f>
        <v>0</v>
      </c>
      <c r="H965" s="123">
        <f>I965-G965</f>
        <v>0</v>
      </c>
      <c r="I965" s="123">
        <f>ROUND(E965*F965,2)</f>
        <v>0</v>
      </c>
      <c r="J965" s="123">
        <v>0</v>
      </c>
      <c r="K965" s="123">
        <f>E965*J965</f>
        <v>0</v>
      </c>
      <c r="M965" s="124" t="s">
        <v>8</v>
      </c>
      <c r="N965" s="123">
        <f>IF(M965="5",H965,0)</f>
        <v>0</v>
      </c>
      <c r="Y965" s="123">
        <f>IF(AC965=0,I965,0)</f>
        <v>0</v>
      </c>
      <c r="Z965" s="123">
        <f>IF(AC965=14,I965,0)</f>
        <v>0</v>
      </c>
      <c r="AA965" s="123">
        <f>IF(AC965=20,I965,0)</f>
        <v>0</v>
      </c>
      <c r="AC965" s="125">
        <v>20</v>
      </c>
      <c r="AD965" s="125">
        <f>F965*0.862486587357126</f>
        <v>0</v>
      </c>
      <c r="AE965" s="125">
        <f>F965*(1-0.862486587357126)</f>
        <v>0</v>
      </c>
    </row>
    <row r="966" s="90" customFormat="1" ht="11.25">
      <c r="C966" s="126" t="s">
        <v>3021</v>
      </c>
    </row>
    <row r="967" spans="1:31" s="90" customFormat="1" ht="11.25">
      <c r="A967" s="122" t="s">
        <v>750</v>
      </c>
      <c r="B967" s="122" t="s">
        <v>1817</v>
      </c>
      <c r="C967" s="122" t="s">
        <v>3043</v>
      </c>
      <c r="D967" s="122" t="s">
        <v>3456</v>
      </c>
      <c r="E967" s="123">
        <v>21</v>
      </c>
      <c r="F967" s="123">
        <v>0</v>
      </c>
      <c r="G967" s="123">
        <f>ROUND(E967*AD967,2)</f>
        <v>0</v>
      </c>
      <c r="H967" s="123">
        <f>I967-G967</f>
        <v>0</v>
      </c>
      <c r="I967" s="123">
        <f>ROUND(E967*F967,2)</f>
        <v>0</v>
      </c>
      <c r="J967" s="123">
        <v>0</v>
      </c>
      <c r="K967" s="123">
        <f>E967*J967</f>
        <v>0</v>
      </c>
      <c r="M967" s="124" t="s">
        <v>8</v>
      </c>
      <c r="N967" s="123">
        <f>IF(M967="5",H967,0)</f>
        <v>0</v>
      </c>
      <c r="Y967" s="123">
        <f>IF(AC967=0,I967,0)</f>
        <v>0</v>
      </c>
      <c r="Z967" s="123">
        <f>IF(AC967=14,I967,0)</f>
        <v>0</v>
      </c>
      <c r="AA967" s="123">
        <f>IF(AC967=20,I967,0)</f>
        <v>0</v>
      </c>
      <c r="AC967" s="125">
        <v>20</v>
      </c>
      <c r="AD967" s="125">
        <f>F967*0.838028826868444</f>
        <v>0</v>
      </c>
      <c r="AE967" s="125">
        <f>F967*(1-0.838028826868444)</f>
        <v>0</v>
      </c>
    </row>
    <row r="968" s="90" customFormat="1" ht="11.25">
      <c r="C968" s="126" t="s">
        <v>3021</v>
      </c>
    </row>
    <row r="969" spans="1:31" s="90" customFormat="1" ht="11.25">
      <c r="A969" s="122" t="s">
        <v>751</v>
      </c>
      <c r="B969" s="122" t="s">
        <v>1818</v>
      </c>
      <c r="C969" s="122" t="s">
        <v>3044</v>
      </c>
      <c r="D969" s="122" t="s">
        <v>3456</v>
      </c>
      <c r="E969" s="123">
        <v>12</v>
      </c>
      <c r="F969" s="123">
        <v>0</v>
      </c>
      <c r="G969" s="123">
        <f>ROUND(E969*AD969,2)</f>
        <v>0</v>
      </c>
      <c r="H969" s="123">
        <f>I969-G969</f>
        <v>0</v>
      </c>
      <c r="I969" s="123">
        <f>ROUND(E969*F969,2)</f>
        <v>0</v>
      </c>
      <c r="J969" s="123">
        <v>0</v>
      </c>
      <c r="K969" s="123">
        <f>E969*J969</f>
        <v>0</v>
      </c>
      <c r="M969" s="124" t="s">
        <v>8</v>
      </c>
      <c r="N969" s="123">
        <f>IF(M969="5",H969,0)</f>
        <v>0</v>
      </c>
      <c r="Y969" s="123">
        <f>IF(AC969=0,I969,0)</f>
        <v>0</v>
      </c>
      <c r="Z969" s="123">
        <f>IF(AC969=14,I969,0)</f>
        <v>0</v>
      </c>
      <c r="AA969" s="123">
        <f>IF(AC969=20,I969,0)</f>
        <v>0</v>
      </c>
      <c r="AC969" s="125">
        <v>20</v>
      </c>
      <c r="AD969" s="125">
        <f>F969*0.801030013395605</f>
        <v>0</v>
      </c>
      <c r="AE969" s="125">
        <f>F969*(1-0.801030013395605)</f>
        <v>0</v>
      </c>
    </row>
    <row r="970" s="90" customFormat="1" ht="11.25">
      <c r="C970" s="126" t="s">
        <v>3021</v>
      </c>
    </row>
    <row r="971" spans="1:31" s="90" customFormat="1" ht="11.25">
      <c r="A971" s="122" t="s">
        <v>752</v>
      </c>
      <c r="B971" s="122" t="s">
        <v>1819</v>
      </c>
      <c r="C971" s="122" t="s">
        <v>3045</v>
      </c>
      <c r="D971" s="122" t="s">
        <v>3456</v>
      </c>
      <c r="E971" s="123">
        <v>3</v>
      </c>
      <c r="F971" s="123">
        <v>0</v>
      </c>
      <c r="G971" s="123">
        <f>ROUND(E971*AD971,2)</f>
        <v>0</v>
      </c>
      <c r="H971" s="123">
        <f>I971-G971</f>
        <v>0</v>
      </c>
      <c r="I971" s="123">
        <f>ROUND(E971*F971,2)</f>
        <v>0</v>
      </c>
      <c r="J971" s="123">
        <v>0</v>
      </c>
      <c r="K971" s="123">
        <f>E971*J971</f>
        <v>0</v>
      </c>
      <c r="M971" s="124" t="s">
        <v>8</v>
      </c>
      <c r="N971" s="123">
        <f>IF(M971="5",H971,0)</f>
        <v>0</v>
      </c>
      <c r="Y971" s="123">
        <f>IF(AC971=0,I971,0)</f>
        <v>0</v>
      </c>
      <c r="Z971" s="123">
        <f>IF(AC971=14,I971,0)</f>
        <v>0</v>
      </c>
      <c r="AA971" s="123">
        <f>IF(AC971=20,I971,0)</f>
        <v>0</v>
      </c>
      <c r="AC971" s="125">
        <v>20</v>
      </c>
      <c r="AD971" s="125">
        <f>F971*0.864809018061953</f>
        <v>0</v>
      </c>
      <c r="AE971" s="125">
        <f>F971*(1-0.864809018061953)</f>
        <v>0</v>
      </c>
    </row>
    <row r="972" s="90" customFormat="1" ht="11.25">
      <c r="C972" s="126" t="s">
        <v>3021</v>
      </c>
    </row>
    <row r="973" spans="1:31" s="90" customFormat="1" ht="11.25">
      <c r="A973" s="122" t="s">
        <v>753</v>
      </c>
      <c r="B973" s="122" t="s">
        <v>1820</v>
      </c>
      <c r="C973" s="122" t="s">
        <v>3046</v>
      </c>
      <c r="D973" s="122" t="s">
        <v>3456</v>
      </c>
      <c r="E973" s="123">
        <v>23</v>
      </c>
      <c r="F973" s="123">
        <v>0</v>
      </c>
      <c r="G973" s="123">
        <f>ROUND(E973*AD973,2)</f>
        <v>0</v>
      </c>
      <c r="H973" s="123">
        <f>I973-G973</f>
        <v>0</v>
      </c>
      <c r="I973" s="123">
        <f>ROUND(E973*F973,2)</f>
        <v>0</v>
      </c>
      <c r="J973" s="123">
        <v>0</v>
      </c>
      <c r="K973" s="123">
        <f>E973*J973</f>
        <v>0</v>
      </c>
      <c r="M973" s="124" t="s">
        <v>8</v>
      </c>
      <c r="N973" s="123">
        <f>IF(M973="5",H973,0)</f>
        <v>0</v>
      </c>
      <c r="Y973" s="123">
        <f>IF(AC973=0,I973,0)</f>
        <v>0</v>
      </c>
      <c r="Z973" s="123">
        <f>IF(AC973=14,I973,0)</f>
        <v>0</v>
      </c>
      <c r="AA973" s="123">
        <f>IF(AC973=20,I973,0)</f>
        <v>0</v>
      </c>
      <c r="AC973" s="125">
        <v>20</v>
      </c>
      <c r="AD973" s="125">
        <f>F973*0.861201951739027</f>
        <v>0</v>
      </c>
      <c r="AE973" s="125">
        <f>F973*(1-0.861201951739027)</f>
        <v>0</v>
      </c>
    </row>
    <row r="974" s="90" customFormat="1" ht="11.25">
      <c r="C974" s="126" t="s">
        <v>3021</v>
      </c>
    </row>
    <row r="975" spans="1:31" s="90" customFormat="1" ht="11.25">
      <c r="A975" s="122" t="s">
        <v>754</v>
      </c>
      <c r="B975" s="122" t="s">
        <v>1821</v>
      </c>
      <c r="C975" s="122" t="s">
        <v>3047</v>
      </c>
      <c r="D975" s="122" t="s">
        <v>3456</v>
      </c>
      <c r="E975" s="123">
        <v>21</v>
      </c>
      <c r="F975" s="123">
        <v>0</v>
      </c>
      <c r="G975" s="123">
        <f>ROUND(E975*AD975,2)</f>
        <v>0</v>
      </c>
      <c r="H975" s="123">
        <f>I975-G975</f>
        <v>0</v>
      </c>
      <c r="I975" s="123">
        <f>ROUND(E975*F975,2)</f>
        <v>0</v>
      </c>
      <c r="J975" s="123">
        <v>0</v>
      </c>
      <c r="K975" s="123">
        <f>E975*J975</f>
        <v>0</v>
      </c>
      <c r="M975" s="124" t="s">
        <v>8</v>
      </c>
      <c r="N975" s="123">
        <f>IF(M975="5",H975,0)</f>
        <v>0</v>
      </c>
      <c r="Y975" s="123">
        <f>IF(AC975=0,I975,0)</f>
        <v>0</v>
      </c>
      <c r="Z975" s="123">
        <f>IF(AC975=14,I975,0)</f>
        <v>0</v>
      </c>
      <c r="AA975" s="123">
        <f>IF(AC975=20,I975,0)</f>
        <v>0</v>
      </c>
      <c r="AC975" s="125">
        <v>20</v>
      </c>
      <c r="AD975" s="125">
        <f>F975*0.834053012688501</f>
        <v>0</v>
      </c>
      <c r="AE975" s="125">
        <f>F975*(1-0.834053012688501)</f>
        <v>0</v>
      </c>
    </row>
    <row r="976" s="90" customFormat="1" ht="11.25">
      <c r="C976" s="126" t="s">
        <v>3021</v>
      </c>
    </row>
    <row r="977" spans="1:31" s="90" customFormat="1" ht="11.25">
      <c r="A977" s="122" t="s">
        <v>755</v>
      </c>
      <c r="B977" s="122" t="s">
        <v>1822</v>
      </c>
      <c r="C977" s="122" t="s">
        <v>3048</v>
      </c>
      <c r="D977" s="122" t="s">
        <v>3456</v>
      </c>
      <c r="E977" s="123">
        <v>8</v>
      </c>
      <c r="F977" s="123">
        <v>0</v>
      </c>
      <c r="G977" s="123">
        <f>ROUND(E977*AD977,2)</f>
        <v>0</v>
      </c>
      <c r="H977" s="123">
        <f>I977-G977</f>
        <v>0</v>
      </c>
      <c r="I977" s="123">
        <f>ROUND(E977*F977,2)</f>
        <v>0</v>
      </c>
      <c r="J977" s="123">
        <v>0</v>
      </c>
      <c r="K977" s="123">
        <f>E977*J977</f>
        <v>0</v>
      </c>
      <c r="M977" s="124" t="s">
        <v>8</v>
      </c>
      <c r="N977" s="123">
        <f>IF(M977="5",H977,0)</f>
        <v>0</v>
      </c>
      <c r="Y977" s="123">
        <f>IF(AC977=0,I977,0)</f>
        <v>0</v>
      </c>
      <c r="Z977" s="123">
        <f>IF(AC977=14,I977,0)</f>
        <v>0</v>
      </c>
      <c r="AA977" s="123">
        <f>IF(AC977=20,I977,0)</f>
        <v>0</v>
      </c>
      <c r="AC977" s="125">
        <v>20</v>
      </c>
      <c r="AD977" s="125">
        <f>F977*0.814035918823121</f>
        <v>0</v>
      </c>
      <c r="AE977" s="125">
        <f>F977*(1-0.814035918823121)</f>
        <v>0</v>
      </c>
    </row>
    <row r="978" s="90" customFormat="1" ht="11.25">
      <c r="C978" s="126" t="s">
        <v>3021</v>
      </c>
    </row>
    <row r="979" spans="1:31" s="90" customFormat="1" ht="11.25">
      <c r="A979" s="122" t="s">
        <v>756</v>
      </c>
      <c r="B979" s="122" t="s">
        <v>1823</v>
      </c>
      <c r="C979" s="122" t="s">
        <v>3049</v>
      </c>
      <c r="D979" s="122" t="s">
        <v>3456</v>
      </c>
      <c r="E979" s="123">
        <v>32</v>
      </c>
      <c r="F979" s="123">
        <v>0</v>
      </c>
      <c r="G979" s="123">
        <f>ROUND(E979*AD979,2)</f>
        <v>0</v>
      </c>
      <c r="H979" s="123">
        <f>I979-G979</f>
        <v>0</v>
      </c>
      <c r="I979" s="123">
        <f>ROUND(E979*F979,2)</f>
        <v>0</v>
      </c>
      <c r="J979" s="123">
        <v>0</v>
      </c>
      <c r="K979" s="123">
        <f>E979*J979</f>
        <v>0</v>
      </c>
      <c r="M979" s="124" t="s">
        <v>8</v>
      </c>
      <c r="N979" s="123">
        <f>IF(M979="5",H979,0)</f>
        <v>0</v>
      </c>
      <c r="Y979" s="123">
        <f>IF(AC979=0,I979,0)</f>
        <v>0</v>
      </c>
      <c r="Z979" s="123">
        <f>IF(AC979=14,I979,0)</f>
        <v>0</v>
      </c>
      <c r="AA979" s="123">
        <f>IF(AC979=20,I979,0)</f>
        <v>0</v>
      </c>
      <c r="AC979" s="125">
        <v>20</v>
      </c>
      <c r="AD979" s="125">
        <f>F979*0.825849639546859</f>
        <v>0</v>
      </c>
      <c r="AE979" s="125">
        <f>F979*(1-0.825849639546859)</f>
        <v>0</v>
      </c>
    </row>
    <row r="980" s="90" customFormat="1" ht="11.25">
      <c r="C980" s="126" t="s">
        <v>3021</v>
      </c>
    </row>
    <row r="981" spans="1:31" s="90" customFormat="1" ht="11.25">
      <c r="A981" s="122" t="s">
        <v>757</v>
      </c>
      <c r="B981" s="122" t="s">
        <v>1824</v>
      </c>
      <c r="C981" s="122" t="s">
        <v>3050</v>
      </c>
      <c r="D981" s="122" t="s">
        <v>3456</v>
      </c>
      <c r="E981" s="123">
        <v>10</v>
      </c>
      <c r="F981" s="123">
        <v>0</v>
      </c>
      <c r="G981" s="123">
        <f>ROUND(E981*AD981,2)</f>
        <v>0</v>
      </c>
      <c r="H981" s="123">
        <f>I981-G981</f>
        <v>0</v>
      </c>
      <c r="I981" s="123">
        <f>ROUND(E981*F981,2)</f>
        <v>0</v>
      </c>
      <c r="J981" s="123">
        <v>0</v>
      </c>
      <c r="K981" s="123">
        <f>E981*J981</f>
        <v>0</v>
      </c>
      <c r="M981" s="124" t="s">
        <v>8</v>
      </c>
      <c r="N981" s="123">
        <f>IF(M981="5",H981,0)</f>
        <v>0</v>
      </c>
      <c r="Y981" s="123">
        <f>IF(AC981=0,I981,0)</f>
        <v>0</v>
      </c>
      <c r="Z981" s="123">
        <f>IF(AC981=14,I981,0)</f>
        <v>0</v>
      </c>
      <c r="AA981" s="123">
        <f>IF(AC981=20,I981,0)</f>
        <v>0</v>
      </c>
      <c r="AC981" s="125">
        <v>20</v>
      </c>
      <c r="AD981" s="125">
        <f>F981*0.940473911064023</f>
        <v>0</v>
      </c>
      <c r="AE981" s="125">
        <f>F981*(1-0.940473911064023)</f>
        <v>0</v>
      </c>
    </row>
    <row r="982" s="90" customFormat="1" ht="11.25">
      <c r="C982" s="126" t="s">
        <v>3021</v>
      </c>
    </row>
    <row r="983" spans="1:31" s="90" customFormat="1" ht="11.25">
      <c r="A983" s="122" t="s">
        <v>758</v>
      </c>
      <c r="B983" s="122" t="s">
        <v>1825</v>
      </c>
      <c r="C983" s="122" t="s">
        <v>3051</v>
      </c>
      <c r="D983" s="122" t="s">
        <v>3456</v>
      </c>
      <c r="E983" s="123">
        <v>24</v>
      </c>
      <c r="F983" s="123">
        <v>0</v>
      </c>
      <c r="G983" s="123">
        <f>ROUND(E983*AD983,2)</f>
        <v>0</v>
      </c>
      <c r="H983" s="123">
        <f>I983-G983</f>
        <v>0</v>
      </c>
      <c r="I983" s="123">
        <f>ROUND(E983*F983,2)</f>
        <v>0</v>
      </c>
      <c r="J983" s="123">
        <v>0</v>
      </c>
      <c r="K983" s="123">
        <f>E983*J983</f>
        <v>0</v>
      </c>
      <c r="M983" s="124" t="s">
        <v>8</v>
      </c>
      <c r="N983" s="123">
        <f>IF(M983="5",H983,0)</f>
        <v>0</v>
      </c>
      <c r="Y983" s="123">
        <f>IF(AC983=0,I983,0)</f>
        <v>0</v>
      </c>
      <c r="Z983" s="123">
        <f>IF(AC983=14,I983,0)</f>
        <v>0</v>
      </c>
      <c r="AA983" s="123">
        <f>IF(AC983=20,I983,0)</f>
        <v>0</v>
      </c>
      <c r="AC983" s="125">
        <v>20</v>
      </c>
      <c r="AD983" s="125">
        <f>F983*0.919403664936371</f>
        <v>0</v>
      </c>
      <c r="AE983" s="125">
        <f>F983*(1-0.919403664936371)</f>
        <v>0</v>
      </c>
    </row>
    <row r="984" s="90" customFormat="1" ht="11.25">
      <c r="C984" s="126" t="s">
        <v>3021</v>
      </c>
    </row>
    <row r="985" spans="1:31" s="90" customFormat="1" ht="11.25">
      <c r="A985" s="122" t="s">
        <v>759</v>
      </c>
      <c r="B985" s="122" t="s">
        <v>1826</v>
      </c>
      <c r="C985" s="122" t="s">
        <v>3052</v>
      </c>
      <c r="D985" s="122" t="s">
        <v>3456</v>
      </c>
      <c r="E985" s="123">
        <v>2</v>
      </c>
      <c r="F985" s="123">
        <v>0</v>
      </c>
      <c r="G985" s="123">
        <f>ROUND(E985*AD985,2)</f>
        <v>0</v>
      </c>
      <c r="H985" s="123">
        <f>I985-G985</f>
        <v>0</v>
      </c>
      <c r="I985" s="123">
        <f>ROUND(E985*F985,2)</f>
        <v>0</v>
      </c>
      <c r="J985" s="123">
        <v>0</v>
      </c>
      <c r="K985" s="123">
        <f>E985*J985</f>
        <v>0</v>
      </c>
      <c r="M985" s="124" t="s">
        <v>8</v>
      </c>
      <c r="N985" s="123">
        <f>IF(M985="5",H985,0)</f>
        <v>0</v>
      </c>
      <c r="Y985" s="123">
        <f>IF(AC985=0,I985,0)</f>
        <v>0</v>
      </c>
      <c r="Z985" s="123">
        <f>IF(AC985=14,I985,0)</f>
        <v>0</v>
      </c>
      <c r="AA985" s="123">
        <f>IF(AC985=20,I985,0)</f>
        <v>0</v>
      </c>
      <c r="AC985" s="125">
        <v>20</v>
      </c>
      <c r="AD985" s="125">
        <f>F985*0.976011548916998</f>
        <v>0</v>
      </c>
      <c r="AE985" s="125">
        <f>F985*(1-0.976011548916998)</f>
        <v>0</v>
      </c>
    </row>
    <row r="986" s="90" customFormat="1" ht="11.25">
      <c r="C986" s="126" t="s">
        <v>3021</v>
      </c>
    </row>
    <row r="987" spans="1:31" s="90" customFormat="1" ht="11.25">
      <c r="A987" s="122" t="s">
        <v>760</v>
      </c>
      <c r="B987" s="122" t="s">
        <v>1827</v>
      </c>
      <c r="C987" s="122" t="s">
        <v>3053</v>
      </c>
      <c r="D987" s="122" t="s">
        <v>3456</v>
      </c>
      <c r="E987" s="123">
        <v>14</v>
      </c>
      <c r="F987" s="123">
        <v>0</v>
      </c>
      <c r="G987" s="123">
        <f>ROUND(E987*AD987,2)</f>
        <v>0</v>
      </c>
      <c r="H987" s="123">
        <f>I987-G987</f>
        <v>0</v>
      </c>
      <c r="I987" s="123">
        <f>ROUND(E987*F987,2)</f>
        <v>0</v>
      </c>
      <c r="J987" s="123">
        <v>0.00594</v>
      </c>
      <c r="K987" s="123">
        <f>E987*J987</f>
        <v>0.08316</v>
      </c>
      <c r="M987" s="124" t="s">
        <v>8</v>
      </c>
      <c r="N987" s="123">
        <f>IF(M987="5",H987,0)</f>
        <v>0</v>
      </c>
      <c r="Y987" s="123">
        <f>IF(AC987=0,I987,0)</f>
        <v>0</v>
      </c>
      <c r="Z987" s="123">
        <f>IF(AC987=14,I987,0)</f>
        <v>0</v>
      </c>
      <c r="AA987" s="123">
        <f>IF(AC987=20,I987,0)</f>
        <v>0</v>
      </c>
      <c r="AC987" s="125">
        <v>20</v>
      </c>
      <c r="AD987" s="125">
        <f>F987*0.526395554432938</f>
        <v>0</v>
      </c>
      <c r="AE987" s="125">
        <f>F987*(1-0.526395554432938)</f>
        <v>0</v>
      </c>
    </row>
    <row r="988" s="90" customFormat="1" ht="11.25">
      <c r="C988" s="126" t="s">
        <v>3054</v>
      </c>
    </row>
    <row r="989" spans="1:31" s="90" customFormat="1" ht="11.25">
      <c r="A989" s="122" t="s">
        <v>761</v>
      </c>
      <c r="B989" s="122" t="s">
        <v>1828</v>
      </c>
      <c r="C989" s="122" t="s">
        <v>3055</v>
      </c>
      <c r="D989" s="122" t="s">
        <v>3456</v>
      </c>
      <c r="E989" s="123">
        <v>18</v>
      </c>
      <c r="F989" s="123">
        <v>0</v>
      </c>
      <c r="G989" s="123">
        <f>ROUND(E989*AD989,2)</f>
        <v>0</v>
      </c>
      <c r="H989" s="123">
        <f>I989-G989</f>
        <v>0</v>
      </c>
      <c r="I989" s="123">
        <f>ROUND(E989*F989,2)</f>
        <v>0</v>
      </c>
      <c r="J989" s="123">
        <v>0.00028</v>
      </c>
      <c r="K989" s="123">
        <f>E989*J989</f>
        <v>0.005039999999999999</v>
      </c>
      <c r="M989" s="124" t="s">
        <v>8</v>
      </c>
      <c r="N989" s="123">
        <f>IF(M989="5",H989,0)</f>
        <v>0</v>
      </c>
      <c r="Y989" s="123">
        <f>IF(AC989=0,I989,0)</f>
        <v>0</v>
      </c>
      <c r="Z989" s="123">
        <f>IF(AC989=14,I989,0)</f>
        <v>0</v>
      </c>
      <c r="AA989" s="123">
        <f>IF(AC989=20,I989,0)</f>
        <v>0</v>
      </c>
      <c r="AC989" s="125">
        <v>20</v>
      </c>
      <c r="AD989" s="125">
        <f>F989*0.248048907388137</f>
        <v>0</v>
      </c>
      <c r="AE989" s="125">
        <f>F989*(1-0.248048907388137)</f>
        <v>0</v>
      </c>
    </row>
    <row r="990" s="90" customFormat="1" ht="11.25">
      <c r="C990" s="126" t="s">
        <v>3056</v>
      </c>
    </row>
    <row r="991" spans="1:31" s="90" customFormat="1" ht="11.25">
      <c r="A991" s="122" t="s">
        <v>762</v>
      </c>
      <c r="B991" s="122" t="s">
        <v>1829</v>
      </c>
      <c r="C991" s="122" t="s">
        <v>3055</v>
      </c>
      <c r="D991" s="122" t="s">
        <v>3456</v>
      </c>
      <c r="E991" s="123">
        <v>236</v>
      </c>
      <c r="F991" s="123">
        <v>0</v>
      </c>
      <c r="G991" s="123">
        <f>ROUND(E991*AD991,2)</f>
        <v>0</v>
      </c>
      <c r="H991" s="123">
        <f>I991-G991</f>
        <v>0</v>
      </c>
      <c r="I991" s="123">
        <f>ROUND(E991*F991,2)</f>
        <v>0</v>
      </c>
      <c r="J991" s="123">
        <v>0.00011</v>
      </c>
      <c r="K991" s="123">
        <f>E991*J991</f>
        <v>0.02596</v>
      </c>
      <c r="M991" s="124" t="s">
        <v>8</v>
      </c>
      <c r="N991" s="123">
        <f>IF(M991="5",H991,0)</f>
        <v>0</v>
      </c>
      <c r="Y991" s="123">
        <f>IF(AC991=0,I991,0)</f>
        <v>0</v>
      </c>
      <c r="Z991" s="123">
        <f>IF(AC991=14,I991,0)</f>
        <v>0</v>
      </c>
      <c r="AA991" s="123">
        <f>IF(AC991=20,I991,0)</f>
        <v>0</v>
      </c>
      <c r="AC991" s="125">
        <v>20</v>
      </c>
      <c r="AD991" s="125">
        <f>F991*0.0993924287272161</f>
        <v>0</v>
      </c>
      <c r="AE991" s="125">
        <f>F991*(1-0.0993924287272161)</f>
        <v>0</v>
      </c>
    </row>
    <row r="992" s="90" customFormat="1" ht="11.25">
      <c r="C992" s="126" t="s">
        <v>3057</v>
      </c>
    </row>
    <row r="993" spans="1:31" s="90" customFormat="1" ht="11.25">
      <c r="A993" s="122" t="s">
        <v>763</v>
      </c>
      <c r="B993" s="122" t="s">
        <v>1830</v>
      </c>
      <c r="C993" s="122" t="s">
        <v>3055</v>
      </c>
      <c r="D993" s="122" t="s">
        <v>3456</v>
      </c>
      <c r="E993" s="123">
        <v>20</v>
      </c>
      <c r="F993" s="123">
        <v>0</v>
      </c>
      <c r="G993" s="123">
        <f>ROUND(E993*AD993,2)</f>
        <v>0</v>
      </c>
      <c r="H993" s="123">
        <f>I993-G993</f>
        <v>0</v>
      </c>
      <c r="I993" s="123">
        <f>ROUND(E993*F993,2)</f>
        <v>0</v>
      </c>
      <c r="J993" s="123">
        <v>0.0002</v>
      </c>
      <c r="K993" s="123">
        <f>E993*J993</f>
        <v>0.004</v>
      </c>
      <c r="M993" s="124" t="s">
        <v>8</v>
      </c>
      <c r="N993" s="123">
        <f>IF(M993="5",H993,0)</f>
        <v>0</v>
      </c>
      <c r="Y993" s="123">
        <f>IF(AC993=0,I993,0)</f>
        <v>0</v>
      </c>
      <c r="Z993" s="123">
        <f>IF(AC993=14,I993,0)</f>
        <v>0</v>
      </c>
      <c r="AA993" s="123">
        <f>IF(AC993=20,I993,0)</f>
        <v>0</v>
      </c>
      <c r="AC993" s="125">
        <v>20</v>
      </c>
      <c r="AD993" s="125">
        <f>F993*0.324728419577152</f>
        <v>0</v>
      </c>
      <c r="AE993" s="125">
        <f>F993*(1-0.324728419577152)</f>
        <v>0</v>
      </c>
    </row>
    <row r="994" s="90" customFormat="1" ht="11.25">
      <c r="C994" s="126" t="s">
        <v>3058</v>
      </c>
    </row>
    <row r="995" spans="1:31" s="90" customFormat="1" ht="11.25">
      <c r="A995" s="122" t="s">
        <v>764</v>
      </c>
      <c r="B995" s="122" t="s">
        <v>1831</v>
      </c>
      <c r="C995" s="122" t="s">
        <v>3059</v>
      </c>
      <c r="D995" s="122" t="s">
        <v>3456</v>
      </c>
      <c r="E995" s="123">
        <v>34</v>
      </c>
      <c r="F995" s="123">
        <v>0</v>
      </c>
      <c r="G995" s="123">
        <f>ROUND(E995*AD995,2)</f>
        <v>0</v>
      </c>
      <c r="H995" s="123">
        <f>I995-G995</f>
        <v>0</v>
      </c>
      <c r="I995" s="123">
        <f>ROUND(E995*F995,2)</f>
        <v>0</v>
      </c>
      <c r="J995" s="123">
        <v>0.00021</v>
      </c>
      <c r="K995" s="123">
        <f>E995*J995</f>
        <v>0.0071400000000000005</v>
      </c>
      <c r="M995" s="124" t="s">
        <v>8</v>
      </c>
      <c r="N995" s="123">
        <f>IF(M995="5",H995,0)</f>
        <v>0</v>
      </c>
      <c r="Y995" s="123">
        <f>IF(AC995=0,I995,0)</f>
        <v>0</v>
      </c>
      <c r="Z995" s="123">
        <f>IF(AC995=14,I995,0)</f>
        <v>0</v>
      </c>
      <c r="AA995" s="123">
        <f>IF(AC995=20,I995,0)</f>
        <v>0</v>
      </c>
      <c r="AC995" s="125">
        <v>20</v>
      </c>
      <c r="AD995" s="125">
        <f>F995*0.141092929916641</f>
        <v>0</v>
      </c>
      <c r="AE995" s="125">
        <f>F995*(1-0.141092929916641)</f>
        <v>0</v>
      </c>
    </row>
    <row r="996" s="90" customFormat="1" ht="11.25">
      <c r="C996" s="126" t="s">
        <v>3060</v>
      </c>
    </row>
    <row r="997" spans="1:31" s="90" customFormat="1" ht="11.25">
      <c r="A997" s="122" t="s">
        <v>765</v>
      </c>
      <c r="B997" s="122" t="s">
        <v>1832</v>
      </c>
      <c r="C997" s="122" t="s">
        <v>3059</v>
      </c>
      <c r="D997" s="122" t="s">
        <v>3456</v>
      </c>
      <c r="E997" s="123">
        <v>38</v>
      </c>
      <c r="F997" s="123">
        <v>0</v>
      </c>
      <c r="G997" s="123">
        <f>ROUND(E997*AD997,2)</f>
        <v>0</v>
      </c>
      <c r="H997" s="123">
        <f>I997-G997</f>
        <v>0</v>
      </c>
      <c r="I997" s="123">
        <f>ROUND(E997*F997,2)</f>
        <v>0</v>
      </c>
      <c r="J997" s="123">
        <v>0.0003</v>
      </c>
      <c r="K997" s="123">
        <f>E997*J997</f>
        <v>0.011399999999999999</v>
      </c>
      <c r="M997" s="124" t="s">
        <v>8</v>
      </c>
      <c r="N997" s="123">
        <f>IF(M997="5",H997,0)</f>
        <v>0</v>
      </c>
      <c r="Y997" s="123">
        <f>IF(AC997=0,I997,0)</f>
        <v>0</v>
      </c>
      <c r="Z997" s="123">
        <f>IF(AC997=14,I997,0)</f>
        <v>0</v>
      </c>
      <c r="AA997" s="123">
        <f>IF(AC997=20,I997,0)</f>
        <v>0</v>
      </c>
      <c r="AC997" s="125">
        <v>20</v>
      </c>
      <c r="AD997" s="125">
        <f>F997*0.208609899487958</f>
        <v>0</v>
      </c>
      <c r="AE997" s="125">
        <f>F997*(1-0.208609899487958)</f>
        <v>0</v>
      </c>
    </row>
    <row r="998" s="90" customFormat="1" ht="11.25">
      <c r="C998" s="126" t="s">
        <v>3061</v>
      </c>
    </row>
    <row r="999" spans="1:31" s="90" customFormat="1" ht="11.25">
      <c r="A999" s="122" t="s">
        <v>766</v>
      </c>
      <c r="B999" s="122" t="s">
        <v>1833</v>
      </c>
      <c r="C999" s="122" t="s">
        <v>3059</v>
      </c>
      <c r="D999" s="122" t="s">
        <v>3456</v>
      </c>
      <c r="E999" s="123">
        <v>7</v>
      </c>
      <c r="F999" s="123">
        <v>0</v>
      </c>
      <c r="G999" s="123">
        <f>ROUND(E999*AD999,2)</f>
        <v>0</v>
      </c>
      <c r="H999" s="123">
        <f>I999-G999</f>
        <v>0</v>
      </c>
      <c r="I999" s="123">
        <f>ROUND(E999*F999,2)</f>
        <v>0</v>
      </c>
      <c r="J999" s="123">
        <v>0.00022</v>
      </c>
      <c r="K999" s="123">
        <f>E999*J999</f>
        <v>0.0015400000000000001</v>
      </c>
      <c r="M999" s="124" t="s">
        <v>8</v>
      </c>
      <c r="N999" s="123">
        <f>IF(M999="5",H999,0)</f>
        <v>0</v>
      </c>
      <c r="Y999" s="123">
        <f>IF(AC999=0,I999,0)</f>
        <v>0</v>
      </c>
      <c r="Z999" s="123">
        <f>IF(AC999=14,I999,0)</f>
        <v>0</v>
      </c>
      <c r="AA999" s="123">
        <f>IF(AC999=20,I999,0)</f>
        <v>0</v>
      </c>
      <c r="AC999" s="125">
        <v>20</v>
      </c>
      <c r="AD999" s="125">
        <f>F999*0.153292076696764</f>
        <v>0</v>
      </c>
      <c r="AE999" s="125">
        <f>F999*(1-0.153292076696764)</f>
        <v>0</v>
      </c>
    </row>
    <row r="1000" s="90" customFormat="1" ht="11.25">
      <c r="C1000" s="126" t="s">
        <v>3062</v>
      </c>
    </row>
    <row r="1001" spans="1:31" s="90" customFormat="1" ht="11.25">
      <c r="A1001" s="122" t="s">
        <v>767</v>
      </c>
      <c r="B1001" s="122" t="s">
        <v>1834</v>
      </c>
      <c r="C1001" s="122" t="s">
        <v>3059</v>
      </c>
      <c r="D1001" s="122" t="s">
        <v>3456</v>
      </c>
      <c r="E1001" s="123">
        <v>14</v>
      </c>
      <c r="F1001" s="123">
        <v>0</v>
      </c>
      <c r="G1001" s="123">
        <f>ROUND(E1001*AD1001,2)</f>
        <v>0</v>
      </c>
      <c r="H1001" s="123">
        <f>I1001-G1001</f>
        <v>0</v>
      </c>
      <c r="I1001" s="123">
        <f>ROUND(E1001*F1001,2)</f>
        <v>0</v>
      </c>
      <c r="J1001" s="123">
        <v>0.00039</v>
      </c>
      <c r="K1001" s="123">
        <f>E1001*J1001</f>
        <v>0.00546</v>
      </c>
      <c r="M1001" s="124" t="s">
        <v>8</v>
      </c>
      <c r="N1001" s="123">
        <f>IF(M1001="5",H1001,0)</f>
        <v>0</v>
      </c>
      <c r="Y1001" s="123">
        <f>IF(AC1001=0,I1001,0)</f>
        <v>0</v>
      </c>
      <c r="Z1001" s="123">
        <f>IF(AC1001=14,I1001,0)</f>
        <v>0</v>
      </c>
      <c r="AA1001" s="123">
        <f>IF(AC1001=20,I1001,0)</f>
        <v>0</v>
      </c>
      <c r="AC1001" s="125">
        <v>20</v>
      </c>
      <c r="AD1001" s="125">
        <f>F1001*0.22</f>
        <v>0</v>
      </c>
      <c r="AE1001" s="125">
        <f>F1001*(1-0.22)</f>
        <v>0</v>
      </c>
    </row>
    <row r="1002" s="90" customFormat="1" ht="11.25">
      <c r="C1002" s="126" t="s">
        <v>3063</v>
      </c>
    </row>
    <row r="1003" spans="1:31" s="90" customFormat="1" ht="11.25">
      <c r="A1003" s="122" t="s">
        <v>768</v>
      </c>
      <c r="B1003" s="122" t="s">
        <v>1835</v>
      </c>
      <c r="C1003" s="122" t="s">
        <v>3059</v>
      </c>
      <c r="D1003" s="122" t="s">
        <v>3456</v>
      </c>
      <c r="E1003" s="123">
        <v>34</v>
      </c>
      <c r="F1003" s="123">
        <v>0</v>
      </c>
      <c r="G1003" s="123">
        <f>ROUND(E1003*AD1003,2)</f>
        <v>0</v>
      </c>
      <c r="H1003" s="123">
        <f>I1003-G1003</f>
        <v>0</v>
      </c>
      <c r="I1003" s="123">
        <f>ROUND(E1003*F1003,2)</f>
        <v>0</v>
      </c>
      <c r="J1003" s="123">
        <v>0.00013</v>
      </c>
      <c r="K1003" s="123">
        <f>E1003*J1003</f>
        <v>0.0044199999999999995</v>
      </c>
      <c r="M1003" s="124" t="s">
        <v>8</v>
      </c>
      <c r="N1003" s="123">
        <f>IF(M1003="5",H1003,0)</f>
        <v>0</v>
      </c>
      <c r="Y1003" s="123">
        <f>IF(AC1003=0,I1003,0)</f>
        <v>0</v>
      </c>
      <c r="Z1003" s="123">
        <f>IF(AC1003=14,I1003,0)</f>
        <v>0</v>
      </c>
      <c r="AA1003" s="123">
        <f>IF(AC1003=20,I1003,0)</f>
        <v>0</v>
      </c>
      <c r="AC1003" s="125">
        <v>20</v>
      </c>
      <c r="AD1003" s="125">
        <f>F1003*0.0953826143507479</f>
        <v>0</v>
      </c>
      <c r="AE1003" s="125">
        <f>F1003*(1-0.0953826143507479)</f>
        <v>0</v>
      </c>
    </row>
    <row r="1004" s="90" customFormat="1" ht="11.25">
      <c r="C1004" s="126" t="s">
        <v>3064</v>
      </c>
    </row>
    <row r="1005" spans="1:31" s="90" customFormat="1" ht="11.25">
      <c r="A1005" s="122" t="s">
        <v>769</v>
      </c>
      <c r="B1005" s="122" t="s">
        <v>1836</v>
      </c>
      <c r="C1005" s="122" t="s">
        <v>3059</v>
      </c>
      <c r="D1005" s="122" t="s">
        <v>3456</v>
      </c>
      <c r="E1005" s="123">
        <v>10</v>
      </c>
      <c r="F1005" s="123">
        <v>0</v>
      </c>
      <c r="G1005" s="123">
        <f>ROUND(E1005*AD1005,2)</f>
        <v>0</v>
      </c>
      <c r="H1005" s="123">
        <f>I1005-G1005</f>
        <v>0</v>
      </c>
      <c r="I1005" s="123">
        <f>ROUND(E1005*F1005,2)</f>
        <v>0</v>
      </c>
      <c r="J1005" s="123">
        <v>0.00027</v>
      </c>
      <c r="K1005" s="123">
        <f>E1005*J1005</f>
        <v>0.0027</v>
      </c>
      <c r="M1005" s="124" t="s">
        <v>8</v>
      </c>
      <c r="N1005" s="123">
        <f>IF(M1005="5",H1005,0)</f>
        <v>0</v>
      </c>
      <c r="Y1005" s="123">
        <f>IF(AC1005=0,I1005,0)</f>
        <v>0</v>
      </c>
      <c r="Z1005" s="123">
        <f>IF(AC1005=14,I1005,0)</f>
        <v>0</v>
      </c>
      <c r="AA1005" s="123">
        <f>IF(AC1005=20,I1005,0)</f>
        <v>0</v>
      </c>
      <c r="AC1005" s="125">
        <v>20</v>
      </c>
      <c r="AD1005" s="125">
        <f>F1005*0.171201588877855</f>
        <v>0</v>
      </c>
      <c r="AE1005" s="125">
        <f>F1005*(1-0.171201588877855)</f>
        <v>0</v>
      </c>
    </row>
    <row r="1006" s="90" customFormat="1" ht="11.25">
      <c r="C1006" s="126" t="s">
        <v>3065</v>
      </c>
    </row>
    <row r="1007" spans="1:31" s="90" customFormat="1" ht="11.25">
      <c r="A1007" s="122" t="s">
        <v>770</v>
      </c>
      <c r="B1007" s="122" t="s">
        <v>1837</v>
      </c>
      <c r="C1007" s="122" t="s">
        <v>3066</v>
      </c>
      <c r="D1007" s="122" t="s">
        <v>3456</v>
      </c>
      <c r="E1007" s="123">
        <v>32</v>
      </c>
      <c r="F1007" s="123">
        <v>0</v>
      </c>
      <c r="G1007" s="123">
        <f>ROUND(E1007*AD1007,2)</f>
        <v>0</v>
      </c>
      <c r="H1007" s="123">
        <f>I1007-G1007</f>
        <v>0</v>
      </c>
      <c r="I1007" s="123">
        <f>ROUND(E1007*F1007,2)</f>
        <v>0</v>
      </c>
      <c r="J1007" s="123">
        <v>0.00025</v>
      </c>
      <c r="K1007" s="123">
        <f>E1007*J1007</f>
        <v>0.008</v>
      </c>
      <c r="M1007" s="124" t="s">
        <v>8</v>
      </c>
      <c r="N1007" s="123">
        <f>IF(M1007="5",H1007,0)</f>
        <v>0</v>
      </c>
      <c r="Y1007" s="123">
        <f>IF(AC1007=0,I1007,0)</f>
        <v>0</v>
      </c>
      <c r="Z1007" s="123">
        <f>IF(AC1007=14,I1007,0)</f>
        <v>0</v>
      </c>
      <c r="AA1007" s="123">
        <f>IF(AC1007=20,I1007,0)</f>
        <v>0</v>
      </c>
      <c r="AC1007" s="125">
        <v>20</v>
      </c>
      <c r="AD1007" s="125">
        <f>F1007*0.149476831091181</f>
        <v>0</v>
      </c>
      <c r="AE1007" s="125">
        <f>F1007*(1-0.149476831091181)</f>
        <v>0</v>
      </c>
    </row>
    <row r="1008" s="90" customFormat="1" ht="11.25">
      <c r="C1008" s="126" t="s">
        <v>3067</v>
      </c>
    </row>
    <row r="1009" spans="1:31" s="90" customFormat="1" ht="11.25">
      <c r="A1009" s="122" t="s">
        <v>771</v>
      </c>
      <c r="B1009" s="122" t="s">
        <v>1838</v>
      </c>
      <c r="C1009" s="122" t="s">
        <v>3068</v>
      </c>
      <c r="D1009" s="122" t="s">
        <v>3456</v>
      </c>
      <c r="E1009" s="123">
        <v>20</v>
      </c>
      <c r="F1009" s="123">
        <v>0</v>
      </c>
      <c r="G1009" s="123">
        <f>ROUND(E1009*AD1009,2)</f>
        <v>0</v>
      </c>
      <c r="H1009" s="123">
        <f>I1009-G1009</f>
        <v>0</v>
      </c>
      <c r="I1009" s="123">
        <f>ROUND(E1009*F1009,2)</f>
        <v>0</v>
      </c>
      <c r="J1009" s="123">
        <v>0.00364</v>
      </c>
      <c r="K1009" s="123">
        <f>E1009*J1009</f>
        <v>0.0728</v>
      </c>
      <c r="M1009" s="124" t="s">
        <v>8</v>
      </c>
      <c r="N1009" s="123">
        <f>IF(M1009="5",H1009,0)</f>
        <v>0</v>
      </c>
      <c r="Y1009" s="123">
        <f>IF(AC1009=0,I1009,0)</f>
        <v>0</v>
      </c>
      <c r="Z1009" s="123">
        <f>IF(AC1009=14,I1009,0)</f>
        <v>0</v>
      </c>
      <c r="AA1009" s="123">
        <f>IF(AC1009=20,I1009,0)</f>
        <v>0</v>
      </c>
      <c r="AC1009" s="125">
        <v>20</v>
      </c>
      <c r="AD1009" s="125">
        <f>F1009*0.436508586561826</f>
        <v>0</v>
      </c>
      <c r="AE1009" s="125">
        <f>F1009*(1-0.436508586561826)</f>
        <v>0</v>
      </c>
    </row>
    <row r="1010" s="90" customFormat="1" ht="11.25">
      <c r="C1010" s="126" t="s">
        <v>3069</v>
      </c>
    </row>
    <row r="1011" spans="1:31" s="90" customFormat="1" ht="11.25">
      <c r="A1011" s="122" t="s">
        <v>772</v>
      </c>
      <c r="B1011" s="122" t="s">
        <v>1839</v>
      </c>
      <c r="C1011" s="122" t="s">
        <v>3070</v>
      </c>
      <c r="D1011" s="122" t="s">
        <v>3456</v>
      </c>
      <c r="E1011" s="123">
        <v>34</v>
      </c>
      <c r="F1011" s="123">
        <v>0</v>
      </c>
      <c r="G1011" s="123">
        <f>ROUND(E1011*AD1011,2)</f>
        <v>0</v>
      </c>
      <c r="H1011" s="123">
        <f>I1011-G1011</f>
        <v>0</v>
      </c>
      <c r="I1011" s="123">
        <f>ROUND(E1011*F1011,2)</f>
        <v>0</v>
      </c>
      <c r="J1011" s="123">
        <v>0</v>
      </c>
      <c r="K1011" s="123">
        <f>E1011*J1011</f>
        <v>0</v>
      </c>
      <c r="M1011" s="124" t="s">
        <v>8</v>
      </c>
      <c r="N1011" s="123">
        <f>IF(M1011="5",H1011,0)</f>
        <v>0</v>
      </c>
      <c r="Y1011" s="123">
        <f>IF(AC1011=0,I1011,0)</f>
        <v>0</v>
      </c>
      <c r="Z1011" s="123">
        <f>IF(AC1011=14,I1011,0)</f>
        <v>0</v>
      </c>
      <c r="AA1011" s="123">
        <f>IF(AC1011=20,I1011,0)</f>
        <v>0</v>
      </c>
      <c r="AC1011" s="125">
        <v>20</v>
      </c>
      <c r="AD1011" s="125">
        <f>F1011*0</f>
        <v>0</v>
      </c>
      <c r="AE1011" s="125">
        <f>F1011*(1-0)</f>
        <v>0</v>
      </c>
    </row>
    <row r="1012" spans="1:31" s="90" customFormat="1" ht="11.25">
      <c r="A1012" s="122" t="s">
        <v>773</v>
      </c>
      <c r="B1012" s="122" t="s">
        <v>1840</v>
      </c>
      <c r="C1012" s="122" t="s">
        <v>3071</v>
      </c>
      <c r="D1012" s="122" t="s">
        <v>3455</v>
      </c>
      <c r="E1012" s="123">
        <v>235</v>
      </c>
      <c r="F1012" s="123">
        <v>0</v>
      </c>
      <c r="G1012" s="123">
        <f>ROUND(E1012*AD1012,2)</f>
        <v>0</v>
      </c>
      <c r="H1012" s="123">
        <f>I1012-G1012</f>
        <v>0</v>
      </c>
      <c r="I1012" s="123">
        <f>ROUND(E1012*F1012,2)</f>
        <v>0</v>
      </c>
      <c r="J1012" s="123">
        <v>0.00056</v>
      </c>
      <c r="K1012" s="123">
        <f>E1012*J1012</f>
        <v>0.1316</v>
      </c>
      <c r="M1012" s="124" t="s">
        <v>8</v>
      </c>
      <c r="N1012" s="123">
        <f>IF(M1012="5",H1012,0)</f>
        <v>0</v>
      </c>
      <c r="Y1012" s="123">
        <f>IF(AC1012=0,I1012,0)</f>
        <v>0</v>
      </c>
      <c r="Z1012" s="123">
        <f>IF(AC1012=14,I1012,0)</f>
        <v>0</v>
      </c>
      <c r="AA1012" s="123">
        <f>IF(AC1012=20,I1012,0)</f>
        <v>0</v>
      </c>
      <c r="AC1012" s="125">
        <v>20</v>
      </c>
      <c r="AD1012" s="125">
        <f>F1012*0.752556531758606</f>
        <v>0</v>
      </c>
      <c r="AE1012" s="125">
        <f>F1012*(1-0.752556531758606)</f>
        <v>0</v>
      </c>
    </row>
    <row r="1013" s="90" customFormat="1" ht="11.25">
      <c r="C1013" s="126" t="s">
        <v>3072</v>
      </c>
    </row>
    <row r="1014" spans="1:31" s="90" customFormat="1" ht="11.25">
      <c r="A1014" s="122" t="s">
        <v>774</v>
      </c>
      <c r="B1014" s="122" t="s">
        <v>1841</v>
      </c>
      <c r="C1014" s="122" t="s">
        <v>3073</v>
      </c>
      <c r="D1014" s="122" t="s">
        <v>3455</v>
      </c>
      <c r="E1014" s="123">
        <v>175</v>
      </c>
      <c r="F1014" s="123">
        <v>0</v>
      </c>
      <c r="G1014" s="123">
        <f>ROUND(E1014*AD1014,2)</f>
        <v>0</v>
      </c>
      <c r="H1014" s="123">
        <f>I1014-G1014</f>
        <v>0</v>
      </c>
      <c r="I1014" s="123">
        <f>ROUND(E1014*F1014,2)</f>
        <v>0</v>
      </c>
      <c r="J1014" s="123">
        <v>0.00014</v>
      </c>
      <c r="K1014" s="123">
        <f>E1014*J1014</f>
        <v>0.024499999999999997</v>
      </c>
      <c r="M1014" s="124" t="s">
        <v>8</v>
      </c>
      <c r="N1014" s="123">
        <f>IF(M1014="5",H1014,0)</f>
        <v>0</v>
      </c>
      <c r="Y1014" s="123">
        <f>IF(AC1014=0,I1014,0)</f>
        <v>0</v>
      </c>
      <c r="Z1014" s="123">
        <f>IF(AC1014=14,I1014,0)</f>
        <v>0</v>
      </c>
      <c r="AA1014" s="123">
        <f>IF(AC1014=20,I1014,0)</f>
        <v>0</v>
      </c>
      <c r="AC1014" s="125">
        <v>20</v>
      </c>
      <c r="AD1014" s="125">
        <f>F1014*0.257594167679222</f>
        <v>0</v>
      </c>
      <c r="AE1014" s="125">
        <f>F1014*(1-0.257594167679222)</f>
        <v>0</v>
      </c>
    </row>
    <row r="1015" s="90" customFormat="1" ht="11.25">
      <c r="C1015" s="126" t="s">
        <v>3074</v>
      </c>
    </row>
    <row r="1016" spans="1:31" s="90" customFormat="1" ht="11.25">
      <c r="A1016" s="122" t="s">
        <v>775</v>
      </c>
      <c r="B1016" s="122" t="s">
        <v>1842</v>
      </c>
      <c r="C1016" s="122" t="s">
        <v>3075</v>
      </c>
      <c r="D1016" s="122" t="s">
        <v>3455</v>
      </c>
      <c r="E1016" s="123">
        <v>875</v>
      </c>
      <c r="F1016" s="123">
        <v>0</v>
      </c>
      <c r="G1016" s="123">
        <f>ROUND(E1016*AD1016,2)</f>
        <v>0</v>
      </c>
      <c r="H1016" s="123">
        <f>I1016-G1016</f>
        <v>0</v>
      </c>
      <c r="I1016" s="123">
        <f>ROUND(E1016*F1016,2)</f>
        <v>0</v>
      </c>
      <c r="J1016" s="123">
        <v>0.00016</v>
      </c>
      <c r="K1016" s="123">
        <f>E1016*J1016</f>
        <v>0.14</v>
      </c>
      <c r="M1016" s="124" t="s">
        <v>8</v>
      </c>
      <c r="N1016" s="123">
        <f>IF(M1016="5",H1016,0)</f>
        <v>0</v>
      </c>
      <c r="Y1016" s="123">
        <f>IF(AC1016=0,I1016,0)</f>
        <v>0</v>
      </c>
      <c r="Z1016" s="123">
        <f>IF(AC1016=14,I1016,0)</f>
        <v>0</v>
      </c>
      <c r="AA1016" s="123">
        <f>IF(AC1016=20,I1016,0)</f>
        <v>0</v>
      </c>
      <c r="AC1016" s="125">
        <v>20</v>
      </c>
      <c r="AD1016" s="125">
        <f>F1016*0.31038374717833</f>
        <v>0</v>
      </c>
      <c r="AE1016" s="125">
        <f>F1016*(1-0.31038374717833)</f>
        <v>0</v>
      </c>
    </row>
    <row r="1017" s="90" customFormat="1" ht="11.25">
      <c r="C1017" s="126" t="s">
        <v>3076</v>
      </c>
    </row>
    <row r="1018" spans="1:31" s="90" customFormat="1" ht="11.25">
      <c r="A1018" s="122" t="s">
        <v>776</v>
      </c>
      <c r="B1018" s="122" t="s">
        <v>1843</v>
      </c>
      <c r="C1018" s="122" t="s">
        <v>3075</v>
      </c>
      <c r="D1018" s="122" t="s">
        <v>3455</v>
      </c>
      <c r="E1018" s="123">
        <v>1920</v>
      </c>
      <c r="F1018" s="123">
        <v>0</v>
      </c>
      <c r="G1018" s="123">
        <f>ROUND(E1018*AD1018,2)</f>
        <v>0</v>
      </c>
      <c r="H1018" s="123">
        <f>I1018-G1018</f>
        <v>0</v>
      </c>
      <c r="I1018" s="123">
        <f>ROUND(E1018*F1018,2)</f>
        <v>0</v>
      </c>
      <c r="J1018" s="123">
        <v>0.00017</v>
      </c>
      <c r="K1018" s="123">
        <f>E1018*J1018</f>
        <v>0.3264</v>
      </c>
      <c r="M1018" s="124" t="s">
        <v>8</v>
      </c>
      <c r="N1018" s="123">
        <f>IF(M1018="5",H1018,0)</f>
        <v>0</v>
      </c>
      <c r="Y1018" s="123">
        <f>IF(AC1018=0,I1018,0)</f>
        <v>0</v>
      </c>
      <c r="Z1018" s="123">
        <f>IF(AC1018=14,I1018,0)</f>
        <v>0</v>
      </c>
      <c r="AA1018" s="123">
        <f>IF(AC1018=20,I1018,0)</f>
        <v>0</v>
      </c>
      <c r="AC1018" s="125">
        <v>20</v>
      </c>
      <c r="AD1018" s="125">
        <f>F1018*0.31038374717833</f>
        <v>0</v>
      </c>
      <c r="AE1018" s="125">
        <f>F1018*(1-0.31038374717833)</f>
        <v>0</v>
      </c>
    </row>
    <row r="1019" s="90" customFormat="1" ht="11.25">
      <c r="C1019" s="126" t="s">
        <v>3077</v>
      </c>
    </row>
    <row r="1020" spans="1:31" s="90" customFormat="1" ht="11.25">
      <c r="A1020" s="122" t="s">
        <v>777</v>
      </c>
      <c r="B1020" s="122" t="s">
        <v>1844</v>
      </c>
      <c r="C1020" s="122" t="s">
        <v>3078</v>
      </c>
      <c r="D1020" s="122" t="s">
        <v>3455</v>
      </c>
      <c r="E1020" s="123">
        <v>3140</v>
      </c>
      <c r="F1020" s="123">
        <v>0</v>
      </c>
      <c r="G1020" s="123">
        <f>ROUND(E1020*AD1020,2)</f>
        <v>0</v>
      </c>
      <c r="H1020" s="123">
        <f>I1020-G1020</f>
        <v>0</v>
      </c>
      <c r="I1020" s="123">
        <f>ROUND(E1020*F1020,2)</f>
        <v>0</v>
      </c>
      <c r="J1020" s="123">
        <v>0.00023</v>
      </c>
      <c r="K1020" s="123">
        <f>E1020*J1020</f>
        <v>0.7222000000000001</v>
      </c>
      <c r="M1020" s="124" t="s">
        <v>8</v>
      </c>
      <c r="N1020" s="123">
        <f>IF(M1020="5",H1020,0)</f>
        <v>0</v>
      </c>
      <c r="Y1020" s="123">
        <f>IF(AC1020=0,I1020,0)</f>
        <v>0</v>
      </c>
      <c r="Z1020" s="123">
        <f>IF(AC1020=14,I1020,0)</f>
        <v>0</v>
      </c>
      <c r="AA1020" s="123">
        <f>IF(AC1020=20,I1020,0)</f>
        <v>0</v>
      </c>
      <c r="AC1020" s="125">
        <v>20</v>
      </c>
      <c r="AD1020" s="125">
        <f>F1020*0.420120215121797</f>
        <v>0</v>
      </c>
      <c r="AE1020" s="125">
        <f>F1020*(1-0.420120215121797)</f>
        <v>0</v>
      </c>
    </row>
    <row r="1021" s="90" customFormat="1" ht="11.25">
      <c r="C1021" s="126" t="s">
        <v>3079</v>
      </c>
    </row>
    <row r="1022" spans="1:31" s="90" customFormat="1" ht="11.25">
      <c r="A1022" s="122" t="s">
        <v>778</v>
      </c>
      <c r="B1022" s="122" t="s">
        <v>1845</v>
      </c>
      <c r="C1022" s="122" t="s">
        <v>3080</v>
      </c>
      <c r="D1022" s="122" t="s">
        <v>3455</v>
      </c>
      <c r="E1022" s="123">
        <v>270</v>
      </c>
      <c r="F1022" s="123">
        <v>0</v>
      </c>
      <c r="G1022" s="123">
        <f>ROUND(E1022*AD1022,2)</f>
        <v>0</v>
      </c>
      <c r="H1022" s="123">
        <f>I1022-G1022</f>
        <v>0</v>
      </c>
      <c r="I1022" s="123">
        <f>ROUND(E1022*F1022,2)</f>
        <v>0</v>
      </c>
      <c r="J1022" s="123">
        <v>0.00019</v>
      </c>
      <c r="K1022" s="123">
        <f>E1022*J1022</f>
        <v>0.051300000000000005</v>
      </c>
      <c r="M1022" s="124" t="s">
        <v>8</v>
      </c>
      <c r="N1022" s="123">
        <f>IF(M1022="5",H1022,0)</f>
        <v>0</v>
      </c>
      <c r="Y1022" s="123">
        <f>IF(AC1022=0,I1022,0)</f>
        <v>0</v>
      </c>
      <c r="Z1022" s="123">
        <f>IF(AC1022=14,I1022,0)</f>
        <v>0</v>
      </c>
      <c r="AA1022" s="123">
        <f>IF(AC1022=20,I1022,0)</f>
        <v>0</v>
      </c>
      <c r="AC1022" s="125">
        <v>20</v>
      </c>
      <c r="AD1022" s="125">
        <f>F1022*0.376106194690266</f>
        <v>0</v>
      </c>
      <c r="AE1022" s="125">
        <f>F1022*(1-0.376106194690266)</f>
        <v>0</v>
      </c>
    </row>
    <row r="1023" s="90" customFormat="1" ht="11.25">
      <c r="C1023" s="126" t="s">
        <v>3081</v>
      </c>
    </row>
    <row r="1024" spans="1:31" s="90" customFormat="1" ht="11.25">
      <c r="A1024" s="122" t="s">
        <v>779</v>
      </c>
      <c r="B1024" s="122" t="s">
        <v>1846</v>
      </c>
      <c r="C1024" s="122" t="s">
        <v>3082</v>
      </c>
      <c r="D1024" s="122" t="s">
        <v>3455</v>
      </c>
      <c r="E1024" s="123">
        <v>1875</v>
      </c>
      <c r="F1024" s="123">
        <v>0</v>
      </c>
      <c r="G1024" s="123">
        <f>ROUND(E1024*AD1024,2)</f>
        <v>0</v>
      </c>
      <c r="H1024" s="123">
        <f>I1024-G1024</f>
        <v>0</v>
      </c>
      <c r="I1024" s="123">
        <f>ROUND(E1024*F1024,2)</f>
        <v>0</v>
      </c>
      <c r="J1024" s="123">
        <v>0.00022</v>
      </c>
      <c r="K1024" s="123">
        <f>E1024*J1024</f>
        <v>0.41250000000000003</v>
      </c>
      <c r="M1024" s="124" t="s">
        <v>8</v>
      </c>
      <c r="N1024" s="123">
        <f>IF(M1024="5",H1024,0)</f>
        <v>0</v>
      </c>
      <c r="Y1024" s="123">
        <f>IF(AC1024=0,I1024,0)</f>
        <v>0</v>
      </c>
      <c r="Z1024" s="123">
        <f>IF(AC1024=14,I1024,0)</f>
        <v>0</v>
      </c>
      <c r="AA1024" s="123">
        <f>IF(AC1024=20,I1024,0)</f>
        <v>0</v>
      </c>
      <c r="AC1024" s="125">
        <v>20</v>
      </c>
      <c r="AD1024" s="125">
        <f>F1024*0.426111458985598</f>
        <v>0</v>
      </c>
      <c r="AE1024" s="125">
        <f>F1024*(1-0.426111458985598)</f>
        <v>0</v>
      </c>
    </row>
    <row r="1025" s="90" customFormat="1" ht="11.25">
      <c r="C1025" s="126" t="s">
        <v>3083</v>
      </c>
    </row>
    <row r="1026" spans="1:31" s="90" customFormat="1" ht="11.25">
      <c r="A1026" s="122" t="s">
        <v>780</v>
      </c>
      <c r="B1026" s="122" t="s">
        <v>1847</v>
      </c>
      <c r="C1026" s="122" t="s">
        <v>3084</v>
      </c>
      <c r="D1026" s="122" t="s">
        <v>3455</v>
      </c>
      <c r="E1026" s="123">
        <v>270</v>
      </c>
      <c r="F1026" s="123">
        <v>0</v>
      </c>
      <c r="G1026" s="123">
        <f>ROUND(E1026*AD1026,2)</f>
        <v>0</v>
      </c>
      <c r="H1026" s="123">
        <f>I1026-G1026</f>
        <v>0</v>
      </c>
      <c r="I1026" s="123">
        <f>ROUND(E1026*F1026,2)</f>
        <v>0</v>
      </c>
      <c r="J1026" s="123">
        <v>0.00032</v>
      </c>
      <c r="K1026" s="123">
        <f>E1026*J1026</f>
        <v>0.0864</v>
      </c>
      <c r="M1026" s="124" t="s">
        <v>8</v>
      </c>
      <c r="N1026" s="123">
        <f>IF(M1026="5",H1026,0)</f>
        <v>0</v>
      </c>
      <c r="Y1026" s="123">
        <f>IF(AC1026=0,I1026,0)</f>
        <v>0</v>
      </c>
      <c r="Z1026" s="123">
        <f>IF(AC1026=14,I1026,0)</f>
        <v>0</v>
      </c>
      <c r="AA1026" s="123">
        <f>IF(AC1026=20,I1026,0)</f>
        <v>0</v>
      </c>
      <c r="AC1026" s="125">
        <v>20</v>
      </c>
      <c r="AD1026" s="125">
        <f>F1026*0.543677606177606</f>
        <v>0</v>
      </c>
      <c r="AE1026" s="125">
        <f>F1026*(1-0.543677606177606)</f>
        <v>0</v>
      </c>
    </row>
    <row r="1027" s="90" customFormat="1" ht="11.25">
      <c r="C1027" s="126" t="s">
        <v>3085</v>
      </c>
    </row>
    <row r="1028" spans="1:31" s="90" customFormat="1" ht="11.25">
      <c r="A1028" s="122" t="s">
        <v>781</v>
      </c>
      <c r="B1028" s="122" t="s">
        <v>1848</v>
      </c>
      <c r="C1028" s="122" t="s">
        <v>3086</v>
      </c>
      <c r="D1028" s="122" t="s">
        <v>3455</v>
      </c>
      <c r="E1028" s="123">
        <v>35</v>
      </c>
      <c r="F1028" s="123">
        <v>0</v>
      </c>
      <c r="G1028" s="123">
        <f>ROUND(E1028*AD1028,2)</f>
        <v>0</v>
      </c>
      <c r="H1028" s="123">
        <f>I1028-G1028</f>
        <v>0</v>
      </c>
      <c r="I1028" s="123">
        <f>ROUND(E1028*F1028,2)</f>
        <v>0</v>
      </c>
      <c r="J1028" s="123">
        <v>0.00043</v>
      </c>
      <c r="K1028" s="123">
        <f>E1028*J1028</f>
        <v>0.01505</v>
      </c>
      <c r="M1028" s="124" t="s">
        <v>8</v>
      </c>
      <c r="N1028" s="123">
        <f>IF(M1028="5",H1028,0)</f>
        <v>0</v>
      </c>
      <c r="Y1028" s="123">
        <f>IF(AC1028=0,I1028,0)</f>
        <v>0</v>
      </c>
      <c r="Z1028" s="123">
        <f>IF(AC1028=14,I1028,0)</f>
        <v>0</v>
      </c>
      <c r="AA1028" s="123">
        <f>IF(AC1028=20,I1028,0)</f>
        <v>0</v>
      </c>
      <c r="AC1028" s="125">
        <v>20</v>
      </c>
      <c r="AD1028" s="125">
        <f>F1028*0.656930333817126</f>
        <v>0</v>
      </c>
      <c r="AE1028" s="125">
        <f>F1028*(1-0.656930333817126)</f>
        <v>0</v>
      </c>
    </row>
    <row r="1029" s="90" customFormat="1" ht="11.25">
      <c r="C1029" s="126" t="s">
        <v>3087</v>
      </c>
    </row>
    <row r="1030" spans="1:31" s="90" customFormat="1" ht="11.25">
      <c r="A1030" s="122" t="s">
        <v>782</v>
      </c>
      <c r="B1030" s="122" t="s">
        <v>1373</v>
      </c>
      <c r="C1030" s="122" t="s">
        <v>3088</v>
      </c>
      <c r="D1030" s="122" t="s">
        <v>3455</v>
      </c>
      <c r="E1030" s="123">
        <v>175</v>
      </c>
      <c r="F1030" s="123">
        <v>0</v>
      </c>
      <c r="G1030" s="123">
        <f>ROUND(E1030*AD1030,2)</f>
        <v>0</v>
      </c>
      <c r="H1030" s="123">
        <f>I1030-G1030</f>
        <v>0</v>
      </c>
      <c r="I1030" s="123">
        <f>ROUND(E1030*F1030,2)</f>
        <v>0</v>
      </c>
      <c r="J1030" s="123">
        <v>4E-05</v>
      </c>
      <c r="K1030" s="123">
        <f>E1030*J1030</f>
        <v>0.007</v>
      </c>
      <c r="M1030" s="124" t="s">
        <v>8</v>
      </c>
      <c r="N1030" s="123">
        <f>IF(M1030="5",H1030,0)</f>
        <v>0</v>
      </c>
      <c r="Y1030" s="123">
        <f>IF(AC1030=0,I1030,0)</f>
        <v>0</v>
      </c>
      <c r="Z1030" s="123">
        <f>IF(AC1030=14,I1030,0)</f>
        <v>0</v>
      </c>
      <c r="AA1030" s="123">
        <f>IF(AC1030=20,I1030,0)</f>
        <v>0</v>
      </c>
      <c r="AC1030" s="125">
        <v>20</v>
      </c>
      <c r="AD1030" s="125">
        <f>F1030*0.400437636761488</f>
        <v>0</v>
      </c>
      <c r="AE1030" s="125">
        <f>F1030*(1-0.400437636761488)</f>
        <v>0</v>
      </c>
    </row>
    <row r="1031" s="90" customFormat="1" ht="11.25">
      <c r="C1031" s="126" t="s">
        <v>3089</v>
      </c>
    </row>
    <row r="1032" spans="1:31" s="90" customFormat="1" ht="11.25">
      <c r="A1032" s="122" t="s">
        <v>783</v>
      </c>
      <c r="B1032" s="122" t="s">
        <v>1849</v>
      </c>
      <c r="C1032" s="122" t="s">
        <v>3090</v>
      </c>
      <c r="D1032" s="122" t="s">
        <v>3455</v>
      </c>
      <c r="E1032" s="123">
        <v>75</v>
      </c>
      <c r="F1032" s="123">
        <v>0</v>
      </c>
      <c r="G1032" s="123">
        <f>ROUND(E1032*AD1032,2)</f>
        <v>0</v>
      </c>
      <c r="H1032" s="123">
        <f>I1032-G1032</f>
        <v>0</v>
      </c>
      <c r="I1032" s="123">
        <f>ROUND(E1032*F1032,2)</f>
        <v>0</v>
      </c>
      <c r="J1032" s="123">
        <v>6E-05</v>
      </c>
      <c r="K1032" s="123">
        <f>E1032*J1032</f>
        <v>0.0045000000000000005</v>
      </c>
      <c r="M1032" s="124" t="s">
        <v>8</v>
      </c>
      <c r="N1032" s="123">
        <f>IF(M1032="5",H1032,0)</f>
        <v>0</v>
      </c>
      <c r="Y1032" s="123">
        <f>IF(AC1032=0,I1032,0)</f>
        <v>0</v>
      </c>
      <c r="Z1032" s="123">
        <f>IF(AC1032=14,I1032,0)</f>
        <v>0</v>
      </c>
      <c r="AA1032" s="123">
        <f>IF(AC1032=20,I1032,0)</f>
        <v>0</v>
      </c>
      <c r="AC1032" s="125">
        <v>20</v>
      </c>
      <c r="AD1032" s="125">
        <f>F1032*0.508078994614004</f>
        <v>0</v>
      </c>
      <c r="AE1032" s="125">
        <f>F1032*(1-0.508078994614004)</f>
        <v>0</v>
      </c>
    </row>
    <row r="1033" s="90" customFormat="1" ht="11.25">
      <c r="C1033" s="126" t="s">
        <v>3091</v>
      </c>
    </row>
    <row r="1034" spans="1:31" s="90" customFormat="1" ht="11.25">
      <c r="A1034" s="122" t="s">
        <v>784</v>
      </c>
      <c r="B1034" s="122" t="s">
        <v>1850</v>
      </c>
      <c r="C1034" s="122" t="s">
        <v>3092</v>
      </c>
      <c r="D1034" s="122" t="s">
        <v>3455</v>
      </c>
      <c r="E1034" s="123">
        <v>60</v>
      </c>
      <c r="F1034" s="123">
        <v>0</v>
      </c>
      <c r="G1034" s="123">
        <f>ROUND(E1034*AD1034,2)</f>
        <v>0</v>
      </c>
      <c r="H1034" s="123">
        <f>I1034-G1034</f>
        <v>0</v>
      </c>
      <c r="I1034" s="123">
        <f>ROUND(E1034*F1034,2)</f>
        <v>0</v>
      </c>
      <c r="J1034" s="123">
        <v>0.00017</v>
      </c>
      <c r="K1034" s="123">
        <f>E1034*J1034</f>
        <v>0.0102</v>
      </c>
      <c r="M1034" s="124" t="s">
        <v>8</v>
      </c>
      <c r="N1034" s="123">
        <f>IF(M1034="5",H1034,0)</f>
        <v>0</v>
      </c>
      <c r="Y1034" s="123">
        <f>IF(AC1034=0,I1034,0)</f>
        <v>0</v>
      </c>
      <c r="Z1034" s="123">
        <f>IF(AC1034=14,I1034,0)</f>
        <v>0</v>
      </c>
      <c r="AA1034" s="123">
        <f>IF(AC1034=20,I1034,0)</f>
        <v>0</v>
      </c>
      <c r="AC1034" s="125">
        <v>20</v>
      </c>
      <c r="AD1034" s="125">
        <f>F1034*0.735393529695799</f>
        <v>0</v>
      </c>
      <c r="AE1034" s="125">
        <f>F1034*(1-0.735393529695799)</f>
        <v>0</v>
      </c>
    </row>
    <row r="1035" s="90" customFormat="1" ht="11.25">
      <c r="C1035" s="126" t="s">
        <v>3093</v>
      </c>
    </row>
    <row r="1036" spans="1:31" s="90" customFormat="1" ht="11.25">
      <c r="A1036" s="122" t="s">
        <v>785</v>
      </c>
      <c r="B1036" s="122" t="s">
        <v>1851</v>
      </c>
      <c r="C1036" s="122" t="s">
        <v>3094</v>
      </c>
      <c r="D1036" s="122" t="s">
        <v>3455</v>
      </c>
      <c r="E1036" s="123">
        <v>20</v>
      </c>
      <c r="F1036" s="123">
        <v>0</v>
      </c>
      <c r="G1036" s="123">
        <f>ROUND(E1036*AD1036,2)</f>
        <v>0</v>
      </c>
      <c r="H1036" s="123">
        <f>I1036-G1036</f>
        <v>0</v>
      </c>
      <c r="I1036" s="123">
        <f>ROUND(E1036*F1036,2)</f>
        <v>0</v>
      </c>
      <c r="J1036" s="123">
        <v>0.00015</v>
      </c>
      <c r="K1036" s="123">
        <f>E1036*J1036</f>
        <v>0.0029999999999999996</v>
      </c>
      <c r="M1036" s="124" t="s">
        <v>8</v>
      </c>
      <c r="N1036" s="123">
        <f>IF(M1036="5",H1036,0)</f>
        <v>0</v>
      </c>
      <c r="Y1036" s="123">
        <f>IF(AC1036=0,I1036,0)</f>
        <v>0</v>
      </c>
      <c r="Z1036" s="123">
        <f>IF(AC1036=14,I1036,0)</f>
        <v>0</v>
      </c>
      <c r="AA1036" s="123">
        <f>IF(AC1036=20,I1036,0)</f>
        <v>0</v>
      </c>
      <c r="AC1036" s="125">
        <v>20</v>
      </c>
      <c r="AD1036" s="125">
        <f>F1036*0.653274280291047</f>
        <v>0</v>
      </c>
      <c r="AE1036" s="125">
        <f>F1036*(1-0.653274280291047)</f>
        <v>0</v>
      </c>
    </row>
    <row r="1037" s="90" customFormat="1" ht="11.25">
      <c r="C1037" s="126" t="s">
        <v>3095</v>
      </c>
    </row>
    <row r="1038" spans="1:31" s="90" customFormat="1" ht="11.25">
      <c r="A1038" s="122" t="s">
        <v>786</v>
      </c>
      <c r="B1038" s="122" t="s">
        <v>1852</v>
      </c>
      <c r="C1038" s="122" t="s">
        <v>3096</v>
      </c>
      <c r="D1038" s="122" t="s">
        <v>3455</v>
      </c>
      <c r="E1038" s="123">
        <v>65</v>
      </c>
      <c r="F1038" s="123">
        <v>0</v>
      </c>
      <c r="G1038" s="123">
        <f>ROUND(E1038*AD1038,2)</f>
        <v>0</v>
      </c>
      <c r="H1038" s="123">
        <f>I1038-G1038</f>
        <v>0</v>
      </c>
      <c r="I1038" s="123">
        <f>ROUND(E1038*F1038,2)</f>
        <v>0</v>
      </c>
      <c r="J1038" s="123">
        <v>9E-05</v>
      </c>
      <c r="K1038" s="123">
        <f>E1038*J1038</f>
        <v>0.00585</v>
      </c>
      <c r="M1038" s="124" t="s">
        <v>8</v>
      </c>
      <c r="N1038" s="123">
        <f>IF(M1038="5",H1038,0)</f>
        <v>0</v>
      </c>
      <c r="Y1038" s="123">
        <f>IF(AC1038=0,I1038,0)</f>
        <v>0</v>
      </c>
      <c r="Z1038" s="123">
        <f>IF(AC1038=14,I1038,0)</f>
        <v>0</v>
      </c>
      <c r="AA1038" s="123">
        <f>IF(AC1038=20,I1038,0)</f>
        <v>0</v>
      </c>
      <c r="AC1038" s="125">
        <v>20</v>
      </c>
      <c r="AD1038" s="125">
        <f>F1038*0.370413853830349</f>
        <v>0</v>
      </c>
      <c r="AE1038" s="125">
        <f>F1038*(1-0.370413853830349)</f>
        <v>0</v>
      </c>
    </row>
    <row r="1039" s="90" customFormat="1" ht="11.25">
      <c r="C1039" s="126" t="s">
        <v>3097</v>
      </c>
    </row>
    <row r="1040" spans="1:31" s="90" customFormat="1" ht="11.25">
      <c r="A1040" s="122" t="s">
        <v>787</v>
      </c>
      <c r="B1040" s="122" t="s">
        <v>1853</v>
      </c>
      <c r="C1040" s="122" t="s">
        <v>3098</v>
      </c>
      <c r="D1040" s="122" t="s">
        <v>3455</v>
      </c>
      <c r="E1040" s="123">
        <v>40</v>
      </c>
      <c r="F1040" s="123">
        <v>0</v>
      </c>
      <c r="G1040" s="123">
        <f>ROUND(E1040*AD1040,2)</f>
        <v>0</v>
      </c>
      <c r="H1040" s="123">
        <f>I1040-G1040</f>
        <v>0</v>
      </c>
      <c r="I1040" s="123">
        <f>ROUND(E1040*F1040,2)</f>
        <v>0</v>
      </c>
      <c r="J1040" s="123">
        <v>0.00027</v>
      </c>
      <c r="K1040" s="123">
        <f>E1040*J1040</f>
        <v>0.0108</v>
      </c>
      <c r="M1040" s="124" t="s">
        <v>8</v>
      </c>
      <c r="N1040" s="123">
        <f>IF(M1040="5",H1040,0)</f>
        <v>0</v>
      </c>
      <c r="Y1040" s="123">
        <f>IF(AC1040=0,I1040,0)</f>
        <v>0</v>
      </c>
      <c r="Z1040" s="123">
        <f>IF(AC1040=14,I1040,0)</f>
        <v>0</v>
      </c>
      <c r="AA1040" s="123">
        <f>IF(AC1040=20,I1040,0)</f>
        <v>0</v>
      </c>
      <c r="AC1040" s="125">
        <v>20</v>
      </c>
      <c r="AD1040" s="125">
        <f>F1040*0.620408163265306</f>
        <v>0</v>
      </c>
      <c r="AE1040" s="125">
        <f>F1040*(1-0.620408163265306)</f>
        <v>0</v>
      </c>
    </row>
    <row r="1041" s="90" customFormat="1" ht="11.25">
      <c r="C1041" s="126" t="s">
        <v>3099</v>
      </c>
    </row>
    <row r="1042" spans="1:31" s="90" customFormat="1" ht="11.25">
      <c r="A1042" s="122" t="s">
        <v>788</v>
      </c>
      <c r="B1042" s="122" t="s">
        <v>1854</v>
      </c>
      <c r="C1042" s="122" t="s">
        <v>3100</v>
      </c>
      <c r="D1042" s="122" t="s">
        <v>3455</v>
      </c>
      <c r="E1042" s="123">
        <v>165</v>
      </c>
      <c r="F1042" s="123">
        <v>0</v>
      </c>
      <c r="G1042" s="123">
        <f>ROUND(E1042*AD1042,2)</f>
        <v>0</v>
      </c>
      <c r="H1042" s="123">
        <f>I1042-G1042</f>
        <v>0</v>
      </c>
      <c r="I1042" s="123">
        <f>ROUND(E1042*F1042,2)</f>
        <v>0</v>
      </c>
      <c r="J1042" s="123">
        <v>0.00043</v>
      </c>
      <c r="K1042" s="123">
        <f>E1042*J1042</f>
        <v>0.07095</v>
      </c>
      <c r="M1042" s="124" t="s">
        <v>8</v>
      </c>
      <c r="N1042" s="123">
        <f>IF(M1042="5",H1042,0)</f>
        <v>0</v>
      </c>
      <c r="Y1042" s="123">
        <f>IF(AC1042=0,I1042,0)</f>
        <v>0</v>
      </c>
      <c r="Z1042" s="123">
        <f>IF(AC1042=14,I1042,0)</f>
        <v>0</v>
      </c>
      <c r="AA1042" s="123">
        <f>IF(AC1042=20,I1042,0)</f>
        <v>0</v>
      </c>
      <c r="AC1042" s="125">
        <v>20</v>
      </c>
      <c r="AD1042" s="125">
        <f>F1042*0.594191007548408</f>
        <v>0</v>
      </c>
      <c r="AE1042" s="125">
        <f>F1042*(1-0.594191007548408)</f>
        <v>0</v>
      </c>
    </row>
    <row r="1043" s="90" customFormat="1" ht="11.25">
      <c r="C1043" s="126" t="s">
        <v>3101</v>
      </c>
    </row>
    <row r="1044" spans="1:31" s="90" customFormat="1" ht="11.25">
      <c r="A1044" s="122" t="s">
        <v>789</v>
      </c>
      <c r="B1044" s="122" t="s">
        <v>1855</v>
      </c>
      <c r="C1044" s="122" t="s">
        <v>3102</v>
      </c>
      <c r="D1044" s="122" t="s">
        <v>3455</v>
      </c>
      <c r="E1044" s="123">
        <v>285</v>
      </c>
      <c r="F1044" s="123">
        <v>0</v>
      </c>
      <c r="G1044" s="123">
        <f>ROUND(E1044*AD1044,2)</f>
        <v>0</v>
      </c>
      <c r="H1044" s="123">
        <f>I1044-G1044</f>
        <v>0</v>
      </c>
      <c r="I1044" s="123">
        <f>ROUND(E1044*F1044,2)</f>
        <v>0</v>
      </c>
      <c r="J1044" s="123">
        <v>0.00027</v>
      </c>
      <c r="K1044" s="123">
        <f>E1044*J1044</f>
        <v>0.07695</v>
      </c>
      <c r="M1044" s="124" t="s">
        <v>8</v>
      </c>
      <c r="N1044" s="123">
        <f>IF(M1044="5",H1044,0)</f>
        <v>0</v>
      </c>
      <c r="Y1044" s="123">
        <f>IF(AC1044=0,I1044,0)</f>
        <v>0</v>
      </c>
      <c r="Z1044" s="123">
        <f>IF(AC1044=14,I1044,0)</f>
        <v>0</v>
      </c>
      <c r="AA1044" s="123">
        <f>IF(AC1044=20,I1044,0)</f>
        <v>0</v>
      </c>
      <c r="AC1044" s="125">
        <v>20</v>
      </c>
      <c r="AD1044" s="125">
        <f>F1044*0.455719557195572</f>
        <v>0</v>
      </c>
      <c r="AE1044" s="125">
        <f>F1044*(1-0.455719557195572)</f>
        <v>0</v>
      </c>
    </row>
    <row r="1045" s="90" customFormat="1" ht="11.25">
      <c r="C1045" s="126" t="s">
        <v>3103</v>
      </c>
    </row>
    <row r="1046" spans="1:31" s="90" customFormat="1" ht="11.25">
      <c r="A1046" s="122" t="s">
        <v>790</v>
      </c>
      <c r="B1046" s="122" t="s">
        <v>1856</v>
      </c>
      <c r="C1046" s="122" t="s">
        <v>3104</v>
      </c>
      <c r="D1046" s="122" t="s">
        <v>3455</v>
      </c>
      <c r="E1046" s="123">
        <v>215</v>
      </c>
      <c r="F1046" s="123">
        <v>0</v>
      </c>
      <c r="G1046" s="123">
        <f>ROUND(E1046*AD1046,2)</f>
        <v>0</v>
      </c>
      <c r="H1046" s="123">
        <f>I1046-G1046</f>
        <v>0</v>
      </c>
      <c r="I1046" s="123">
        <f>ROUND(E1046*F1046,2)</f>
        <v>0</v>
      </c>
      <c r="J1046" s="123">
        <v>0.00043</v>
      </c>
      <c r="K1046" s="123">
        <f>E1046*J1046</f>
        <v>0.09245</v>
      </c>
      <c r="M1046" s="124" t="s">
        <v>8</v>
      </c>
      <c r="N1046" s="123">
        <f>IF(M1046="5",H1046,0)</f>
        <v>0</v>
      </c>
      <c r="Y1046" s="123">
        <f>IF(AC1046=0,I1046,0)</f>
        <v>0</v>
      </c>
      <c r="Z1046" s="123">
        <f>IF(AC1046=14,I1046,0)</f>
        <v>0</v>
      </c>
      <c r="AA1046" s="123">
        <f>IF(AC1046=20,I1046,0)</f>
        <v>0</v>
      </c>
      <c r="AC1046" s="125">
        <v>20</v>
      </c>
      <c r="AD1046" s="125">
        <f>F1046*0.589134407708922</f>
        <v>0</v>
      </c>
      <c r="AE1046" s="125">
        <f>F1046*(1-0.589134407708922)</f>
        <v>0</v>
      </c>
    </row>
    <row r="1047" s="90" customFormat="1" ht="11.25">
      <c r="C1047" s="126" t="s">
        <v>3105</v>
      </c>
    </row>
    <row r="1048" spans="1:31" s="90" customFormat="1" ht="11.25">
      <c r="A1048" s="122" t="s">
        <v>791</v>
      </c>
      <c r="B1048" s="122" t="s">
        <v>1857</v>
      </c>
      <c r="C1048" s="122" t="s">
        <v>3106</v>
      </c>
      <c r="D1048" s="122" t="s">
        <v>3455</v>
      </c>
      <c r="E1048" s="123">
        <v>110</v>
      </c>
      <c r="F1048" s="123">
        <v>0</v>
      </c>
      <c r="G1048" s="123">
        <f>ROUND(E1048*AD1048,2)</f>
        <v>0</v>
      </c>
      <c r="H1048" s="123">
        <f>I1048-G1048</f>
        <v>0</v>
      </c>
      <c r="I1048" s="123">
        <f>ROUND(E1048*F1048,2)</f>
        <v>0</v>
      </c>
      <c r="J1048" s="123">
        <v>0.00164</v>
      </c>
      <c r="K1048" s="123">
        <f>E1048*J1048</f>
        <v>0.1804</v>
      </c>
      <c r="M1048" s="124" t="s">
        <v>8</v>
      </c>
      <c r="N1048" s="123">
        <f>IF(M1048="5",H1048,0)</f>
        <v>0</v>
      </c>
      <c r="Y1048" s="123">
        <f>IF(AC1048=0,I1048,0)</f>
        <v>0</v>
      </c>
      <c r="Z1048" s="123">
        <f>IF(AC1048=14,I1048,0)</f>
        <v>0</v>
      </c>
      <c r="AA1048" s="123">
        <f>IF(AC1048=20,I1048,0)</f>
        <v>0</v>
      </c>
      <c r="AC1048" s="125">
        <v>20</v>
      </c>
      <c r="AD1048" s="125">
        <f>F1048*0.862330940056771</f>
        <v>0</v>
      </c>
      <c r="AE1048" s="125">
        <f>F1048*(1-0.862330940056771)</f>
        <v>0</v>
      </c>
    </row>
    <row r="1049" s="90" customFormat="1" ht="11.25">
      <c r="C1049" s="126" t="s">
        <v>3107</v>
      </c>
    </row>
    <row r="1050" spans="1:31" s="90" customFormat="1" ht="11.25">
      <c r="A1050" s="122" t="s">
        <v>792</v>
      </c>
      <c r="B1050" s="122" t="s">
        <v>1858</v>
      </c>
      <c r="C1050" s="122" t="s">
        <v>3108</v>
      </c>
      <c r="D1050" s="122" t="s">
        <v>3455</v>
      </c>
      <c r="E1050" s="123">
        <v>55</v>
      </c>
      <c r="F1050" s="123">
        <v>0</v>
      </c>
      <c r="G1050" s="123">
        <f aca="true" t="shared" si="306" ref="G1050:G1055">ROUND(E1050*AD1050,2)</f>
        <v>0</v>
      </c>
      <c r="H1050" s="123">
        <f aca="true" t="shared" si="307" ref="H1050:H1055">I1050-G1050</f>
        <v>0</v>
      </c>
      <c r="I1050" s="123">
        <f aca="true" t="shared" si="308" ref="I1050:I1055">ROUND(E1050*F1050,2)</f>
        <v>0</v>
      </c>
      <c r="J1050" s="123">
        <v>0</v>
      </c>
      <c r="K1050" s="123">
        <f aca="true" t="shared" si="309" ref="K1050:K1055">E1050*J1050</f>
        <v>0</v>
      </c>
      <c r="M1050" s="124" t="s">
        <v>8</v>
      </c>
      <c r="N1050" s="123">
        <f aca="true" t="shared" si="310" ref="N1050:N1055">IF(M1050="5",H1050,0)</f>
        <v>0</v>
      </c>
      <c r="Y1050" s="123">
        <f aca="true" t="shared" si="311" ref="Y1050:Y1055">IF(AC1050=0,I1050,0)</f>
        <v>0</v>
      </c>
      <c r="Z1050" s="123">
        <f aca="true" t="shared" si="312" ref="Z1050:Z1055">IF(AC1050=14,I1050,0)</f>
        <v>0</v>
      </c>
      <c r="AA1050" s="123">
        <f aca="true" t="shared" si="313" ref="AA1050:AA1055">IF(AC1050=20,I1050,0)</f>
        <v>0</v>
      </c>
      <c r="AC1050" s="125">
        <v>20</v>
      </c>
      <c r="AD1050" s="125">
        <f>F1050*0</f>
        <v>0</v>
      </c>
      <c r="AE1050" s="125">
        <f>F1050*(1-0)</f>
        <v>0</v>
      </c>
    </row>
    <row r="1051" spans="1:31" s="90" customFormat="1" ht="11.25">
      <c r="A1051" s="122" t="s">
        <v>793</v>
      </c>
      <c r="B1051" s="122" t="s">
        <v>1859</v>
      </c>
      <c r="C1051" s="122" t="s">
        <v>3109</v>
      </c>
      <c r="D1051" s="122" t="s">
        <v>3456</v>
      </c>
      <c r="E1051" s="123">
        <v>12</v>
      </c>
      <c r="F1051" s="123">
        <v>0</v>
      </c>
      <c r="G1051" s="123">
        <f t="shared" si="306"/>
        <v>0</v>
      </c>
      <c r="H1051" s="123">
        <f t="shared" si="307"/>
        <v>0</v>
      </c>
      <c r="I1051" s="123">
        <f t="shared" si="308"/>
        <v>0</v>
      </c>
      <c r="J1051" s="123">
        <v>0</v>
      </c>
      <c r="K1051" s="123">
        <f t="shared" si="309"/>
        <v>0</v>
      </c>
      <c r="M1051" s="124" t="s">
        <v>8</v>
      </c>
      <c r="N1051" s="123">
        <f t="shared" si="310"/>
        <v>0</v>
      </c>
      <c r="Y1051" s="123">
        <f t="shared" si="311"/>
        <v>0</v>
      </c>
      <c r="Z1051" s="123">
        <f t="shared" si="312"/>
        <v>0</v>
      </c>
      <c r="AA1051" s="123">
        <f t="shared" si="313"/>
        <v>0</v>
      </c>
      <c r="AC1051" s="125">
        <v>20</v>
      </c>
      <c r="AD1051" s="125">
        <f>F1051*0</f>
        <v>0</v>
      </c>
      <c r="AE1051" s="125">
        <f>F1051*(1-0)</f>
        <v>0</v>
      </c>
    </row>
    <row r="1052" spans="1:31" s="90" customFormat="1" ht="11.25">
      <c r="A1052" s="122" t="s">
        <v>794</v>
      </c>
      <c r="B1052" s="122" t="s">
        <v>1860</v>
      </c>
      <c r="C1052" s="122" t="s">
        <v>3110</v>
      </c>
      <c r="D1052" s="122" t="s">
        <v>3456</v>
      </c>
      <c r="E1052" s="123">
        <v>2</v>
      </c>
      <c r="F1052" s="123">
        <v>0</v>
      </c>
      <c r="G1052" s="123">
        <f t="shared" si="306"/>
        <v>0</v>
      </c>
      <c r="H1052" s="123">
        <f t="shared" si="307"/>
        <v>0</v>
      </c>
      <c r="I1052" s="123">
        <f t="shared" si="308"/>
        <v>0</v>
      </c>
      <c r="J1052" s="123">
        <v>0.01085</v>
      </c>
      <c r="K1052" s="123">
        <f t="shared" si="309"/>
        <v>0.0217</v>
      </c>
      <c r="M1052" s="124" t="s">
        <v>8</v>
      </c>
      <c r="N1052" s="123">
        <f t="shared" si="310"/>
        <v>0</v>
      </c>
      <c r="Y1052" s="123">
        <f t="shared" si="311"/>
        <v>0</v>
      </c>
      <c r="Z1052" s="123">
        <f t="shared" si="312"/>
        <v>0</v>
      </c>
      <c r="AA1052" s="123">
        <f t="shared" si="313"/>
        <v>0</v>
      </c>
      <c r="AC1052" s="125">
        <v>20</v>
      </c>
      <c r="AD1052" s="125">
        <f>F1052*0.0128426727805193</f>
        <v>0</v>
      </c>
      <c r="AE1052" s="125">
        <f>F1052*(1-0.0128426727805193)</f>
        <v>0</v>
      </c>
    </row>
    <row r="1053" spans="1:31" s="90" customFormat="1" ht="11.25">
      <c r="A1053" s="122" t="s">
        <v>795</v>
      </c>
      <c r="B1053" s="122" t="s">
        <v>1861</v>
      </c>
      <c r="C1053" s="122" t="s">
        <v>3111</v>
      </c>
      <c r="D1053" s="122" t="s">
        <v>3456</v>
      </c>
      <c r="E1053" s="123">
        <v>6</v>
      </c>
      <c r="F1053" s="123">
        <v>0</v>
      </c>
      <c r="G1053" s="123">
        <f t="shared" si="306"/>
        <v>0</v>
      </c>
      <c r="H1053" s="123">
        <f t="shared" si="307"/>
        <v>0</v>
      </c>
      <c r="I1053" s="123">
        <f t="shared" si="308"/>
        <v>0</v>
      </c>
      <c r="J1053" s="123">
        <v>0</v>
      </c>
      <c r="K1053" s="123">
        <f t="shared" si="309"/>
        <v>0</v>
      </c>
      <c r="M1053" s="124" t="s">
        <v>8</v>
      </c>
      <c r="N1053" s="123">
        <f t="shared" si="310"/>
        <v>0</v>
      </c>
      <c r="Y1053" s="123">
        <f t="shared" si="311"/>
        <v>0</v>
      </c>
      <c r="Z1053" s="123">
        <f t="shared" si="312"/>
        <v>0</v>
      </c>
      <c r="AA1053" s="123">
        <f t="shared" si="313"/>
        <v>0</v>
      </c>
      <c r="AC1053" s="125">
        <v>20</v>
      </c>
      <c r="AD1053" s="125">
        <f>F1053*0.00527024555686711</f>
        <v>0</v>
      </c>
      <c r="AE1053" s="125">
        <f>F1053*(1-0.00527024555686711)</f>
        <v>0</v>
      </c>
    </row>
    <row r="1054" spans="1:31" s="90" customFormat="1" ht="11.25">
      <c r="A1054" s="122" t="s">
        <v>796</v>
      </c>
      <c r="B1054" s="122" t="s">
        <v>1862</v>
      </c>
      <c r="C1054" s="122" t="s">
        <v>3112</v>
      </c>
      <c r="D1054" s="122" t="s">
        <v>3456</v>
      </c>
      <c r="E1054" s="123">
        <v>5</v>
      </c>
      <c r="F1054" s="123">
        <v>0</v>
      </c>
      <c r="G1054" s="123">
        <f t="shared" si="306"/>
        <v>0</v>
      </c>
      <c r="H1054" s="123">
        <f t="shared" si="307"/>
        <v>0</v>
      </c>
      <c r="I1054" s="123">
        <f t="shared" si="308"/>
        <v>0</v>
      </c>
      <c r="J1054" s="123">
        <v>0.00033</v>
      </c>
      <c r="K1054" s="123">
        <f t="shared" si="309"/>
        <v>0.00165</v>
      </c>
      <c r="M1054" s="124" t="s">
        <v>8</v>
      </c>
      <c r="N1054" s="123">
        <f t="shared" si="310"/>
        <v>0</v>
      </c>
      <c r="Y1054" s="123">
        <f t="shared" si="311"/>
        <v>0</v>
      </c>
      <c r="Z1054" s="123">
        <f t="shared" si="312"/>
        <v>0</v>
      </c>
      <c r="AA1054" s="123">
        <f t="shared" si="313"/>
        <v>0</v>
      </c>
      <c r="AC1054" s="125">
        <v>20</v>
      </c>
      <c r="AD1054" s="125">
        <f>F1054*0.775782881002088</f>
        <v>0</v>
      </c>
      <c r="AE1054" s="125">
        <f>F1054*(1-0.775782881002088)</f>
        <v>0</v>
      </c>
    </row>
    <row r="1055" spans="1:31" s="90" customFormat="1" ht="11.25">
      <c r="A1055" s="122" t="s">
        <v>797</v>
      </c>
      <c r="B1055" s="122" t="s">
        <v>1863</v>
      </c>
      <c r="C1055" s="122" t="s">
        <v>3113</v>
      </c>
      <c r="D1055" s="122" t="s">
        <v>3455</v>
      </c>
      <c r="E1055" s="123">
        <v>815</v>
      </c>
      <c r="F1055" s="123">
        <v>0</v>
      </c>
      <c r="G1055" s="123">
        <f t="shared" si="306"/>
        <v>0</v>
      </c>
      <c r="H1055" s="123">
        <f t="shared" si="307"/>
        <v>0</v>
      </c>
      <c r="I1055" s="123">
        <f t="shared" si="308"/>
        <v>0</v>
      </c>
      <c r="J1055" s="123">
        <v>0.00154</v>
      </c>
      <c r="K1055" s="123">
        <f t="shared" si="309"/>
        <v>1.2550999999999999</v>
      </c>
      <c r="M1055" s="124" t="s">
        <v>8</v>
      </c>
      <c r="N1055" s="123">
        <f t="shared" si="310"/>
        <v>0</v>
      </c>
      <c r="Y1055" s="123">
        <f t="shared" si="311"/>
        <v>0</v>
      </c>
      <c r="Z1055" s="123">
        <f t="shared" si="312"/>
        <v>0</v>
      </c>
      <c r="AA1055" s="123">
        <f t="shared" si="313"/>
        <v>0</v>
      </c>
      <c r="AC1055" s="125">
        <v>20</v>
      </c>
      <c r="AD1055" s="125">
        <f>F1055*0.647145488029466</f>
        <v>0</v>
      </c>
      <c r="AE1055" s="125">
        <f>F1055*(1-0.647145488029466)</f>
        <v>0</v>
      </c>
    </row>
    <row r="1056" s="90" customFormat="1" ht="11.25">
      <c r="C1056" s="126" t="s">
        <v>3114</v>
      </c>
    </row>
    <row r="1057" spans="1:31" s="90" customFormat="1" ht="11.25">
      <c r="A1057" s="122" t="s">
        <v>798</v>
      </c>
      <c r="B1057" s="122" t="s">
        <v>1864</v>
      </c>
      <c r="C1057" s="122" t="s">
        <v>3115</v>
      </c>
      <c r="D1057" s="122" t="s">
        <v>3455</v>
      </c>
      <c r="E1057" s="123">
        <v>285</v>
      </c>
      <c r="F1057" s="123">
        <v>0</v>
      </c>
      <c r="G1057" s="123">
        <f>ROUND(E1057*AD1057,2)</f>
        <v>0</v>
      </c>
      <c r="H1057" s="123">
        <f>I1057-G1057</f>
        <v>0</v>
      </c>
      <c r="I1057" s="123">
        <f>ROUND(E1057*F1057,2)</f>
        <v>0</v>
      </c>
      <c r="J1057" s="123">
        <v>0.0007</v>
      </c>
      <c r="K1057" s="123">
        <f>E1057*J1057</f>
        <v>0.1995</v>
      </c>
      <c r="M1057" s="124" t="s">
        <v>8</v>
      </c>
      <c r="N1057" s="123">
        <f>IF(M1057="5",H1057,0)</f>
        <v>0</v>
      </c>
      <c r="Y1057" s="123">
        <f>IF(AC1057=0,I1057,0)</f>
        <v>0</v>
      </c>
      <c r="Z1057" s="123">
        <f>IF(AC1057=14,I1057,0)</f>
        <v>0</v>
      </c>
      <c r="AA1057" s="123">
        <f>IF(AC1057=20,I1057,0)</f>
        <v>0</v>
      </c>
      <c r="AC1057" s="125">
        <v>20</v>
      </c>
      <c r="AD1057" s="125">
        <f>F1057*0.687156970362239</f>
        <v>0</v>
      </c>
      <c r="AE1057" s="125">
        <f>F1057*(1-0.687156970362239)</f>
        <v>0</v>
      </c>
    </row>
    <row r="1058" spans="1:31" s="90" customFormat="1" ht="11.25">
      <c r="A1058" s="122" t="s">
        <v>799</v>
      </c>
      <c r="B1058" s="122" t="s">
        <v>1864</v>
      </c>
      <c r="C1058" s="122" t="s">
        <v>3115</v>
      </c>
      <c r="D1058" s="122" t="s">
        <v>3455</v>
      </c>
      <c r="E1058" s="123">
        <v>50</v>
      </c>
      <c r="F1058" s="123">
        <v>0</v>
      </c>
      <c r="G1058" s="123">
        <f>ROUND(E1058*AD1058,2)</f>
        <v>0</v>
      </c>
      <c r="H1058" s="123">
        <f>I1058-G1058</f>
        <v>0</v>
      </c>
      <c r="I1058" s="123">
        <f>ROUND(E1058*F1058,2)</f>
        <v>0</v>
      </c>
      <c r="J1058" s="123">
        <v>0.0007</v>
      </c>
      <c r="K1058" s="123">
        <f>E1058*J1058</f>
        <v>0.034999999999999996</v>
      </c>
      <c r="M1058" s="124" t="s">
        <v>8</v>
      </c>
      <c r="N1058" s="123">
        <f>IF(M1058="5",H1058,0)</f>
        <v>0</v>
      </c>
      <c r="Y1058" s="123">
        <f>IF(AC1058=0,I1058,0)</f>
        <v>0</v>
      </c>
      <c r="Z1058" s="123">
        <f>IF(AC1058=14,I1058,0)</f>
        <v>0</v>
      </c>
      <c r="AA1058" s="123">
        <f>IF(AC1058=20,I1058,0)</f>
        <v>0</v>
      </c>
      <c r="AC1058" s="125">
        <v>20</v>
      </c>
      <c r="AD1058" s="125">
        <f>F1058*0.687156970362239</f>
        <v>0</v>
      </c>
      <c r="AE1058" s="125">
        <f>F1058*(1-0.687156970362239)</f>
        <v>0</v>
      </c>
    </row>
    <row r="1059" s="90" customFormat="1" ht="11.25">
      <c r="C1059" s="126" t="s">
        <v>3116</v>
      </c>
    </row>
    <row r="1060" spans="1:31" s="90" customFormat="1" ht="11.25">
      <c r="A1060" s="122" t="s">
        <v>800</v>
      </c>
      <c r="B1060" s="122" t="s">
        <v>1865</v>
      </c>
      <c r="C1060" s="122" t="s">
        <v>3117</v>
      </c>
      <c r="D1060" s="122" t="s">
        <v>3456</v>
      </c>
      <c r="E1060" s="123">
        <v>127</v>
      </c>
      <c r="F1060" s="123">
        <v>0</v>
      </c>
      <c r="G1060" s="123">
        <f>ROUND(E1060*AD1060,2)</f>
        <v>0</v>
      </c>
      <c r="H1060" s="123">
        <f>I1060-G1060</f>
        <v>0</v>
      </c>
      <c r="I1060" s="123">
        <f>ROUND(E1060*F1060,2)</f>
        <v>0</v>
      </c>
      <c r="J1060" s="123">
        <v>0.00013</v>
      </c>
      <c r="K1060" s="123">
        <f>E1060*J1060</f>
        <v>0.016509999999999997</v>
      </c>
      <c r="M1060" s="124" t="s">
        <v>8</v>
      </c>
      <c r="N1060" s="123">
        <f>IF(M1060="5",H1060,0)</f>
        <v>0</v>
      </c>
      <c r="Y1060" s="123">
        <f>IF(AC1060=0,I1060,0)</f>
        <v>0</v>
      </c>
      <c r="Z1060" s="123">
        <f>IF(AC1060=14,I1060,0)</f>
        <v>0</v>
      </c>
      <c r="AA1060" s="123">
        <f>IF(AC1060=20,I1060,0)</f>
        <v>0</v>
      </c>
      <c r="AC1060" s="125">
        <v>20</v>
      </c>
      <c r="AD1060" s="125">
        <f>F1060*0.057753164556962</f>
        <v>0</v>
      </c>
      <c r="AE1060" s="125">
        <f>F1060*(1-0.057753164556962)</f>
        <v>0</v>
      </c>
    </row>
    <row r="1061" s="90" customFormat="1" ht="11.25">
      <c r="C1061" s="126" t="s">
        <v>3118</v>
      </c>
    </row>
    <row r="1062" spans="1:31" s="90" customFormat="1" ht="11.25">
      <c r="A1062" s="122" t="s">
        <v>801</v>
      </c>
      <c r="B1062" s="122" t="s">
        <v>1866</v>
      </c>
      <c r="C1062" s="122" t="s">
        <v>3119</v>
      </c>
      <c r="D1062" s="122" t="s">
        <v>3455</v>
      </c>
      <c r="E1062" s="123">
        <v>85</v>
      </c>
      <c r="F1062" s="123">
        <v>0</v>
      </c>
      <c r="G1062" s="123">
        <f aca="true" t="shared" si="314" ref="G1062:G1077">ROUND(E1062*AD1062,2)</f>
        <v>0</v>
      </c>
      <c r="H1062" s="123">
        <f aca="true" t="shared" si="315" ref="H1062:H1077">I1062-G1062</f>
        <v>0</v>
      </c>
      <c r="I1062" s="123">
        <f aca="true" t="shared" si="316" ref="I1062:I1077">ROUND(E1062*F1062,2)</f>
        <v>0</v>
      </c>
      <c r="J1062" s="123">
        <v>0.00155</v>
      </c>
      <c r="K1062" s="123">
        <f aca="true" t="shared" si="317" ref="K1062:K1077">E1062*J1062</f>
        <v>0.13175</v>
      </c>
      <c r="M1062" s="124" t="s">
        <v>8</v>
      </c>
      <c r="N1062" s="123">
        <f aca="true" t="shared" si="318" ref="N1062:N1077">IF(M1062="5",H1062,0)</f>
        <v>0</v>
      </c>
      <c r="Y1062" s="123">
        <f aca="true" t="shared" si="319" ref="Y1062:Y1077">IF(AC1062=0,I1062,0)</f>
        <v>0</v>
      </c>
      <c r="Z1062" s="123">
        <f aca="true" t="shared" si="320" ref="Z1062:Z1077">IF(AC1062=14,I1062,0)</f>
        <v>0</v>
      </c>
      <c r="AA1062" s="123">
        <f aca="true" t="shared" si="321" ref="AA1062:AA1077">IF(AC1062=20,I1062,0)</f>
        <v>0</v>
      </c>
      <c r="AC1062" s="125">
        <v>20</v>
      </c>
      <c r="AD1062" s="125">
        <f>F1062*0.571674173916033</f>
        <v>0</v>
      </c>
      <c r="AE1062" s="125">
        <f>F1062*(1-0.571674173916033)</f>
        <v>0</v>
      </c>
    </row>
    <row r="1063" spans="1:31" s="90" customFormat="1" ht="11.25">
      <c r="A1063" s="122" t="s">
        <v>802</v>
      </c>
      <c r="B1063" s="122" t="s">
        <v>1867</v>
      </c>
      <c r="C1063" s="122" t="s">
        <v>3120</v>
      </c>
      <c r="D1063" s="122" t="s">
        <v>3455</v>
      </c>
      <c r="E1063" s="123">
        <v>50</v>
      </c>
      <c r="F1063" s="123">
        <v>0</v>
      </c>
      <c r="G1063" s="123">
        <f t="shared" si="314"/>
        <v>0</v>
      </c>
      <c r="H1063" s="123">
        <f t="shared" si="315"/>
        <v>0</v>
      </c>
      <c r="I1063" s="123">
        <f t="shared" si="316"/>
        <v>0</v>
      </c>
      <c r="J1063" s="123">
        <v>0.00359</v>
      </c>
      <c r="K1063" s="123">
        <f t="shared" si="317"/>
        <v>0.1795</v>
      </c>
      <c r="M1063" s="124" t="s">
        <v>8</v>
      </c>
      <c r="N1063" s="123">
        <f t="shared" si="318"/>
        <v>0</v>
      </c>
      <c r="Y1063" s="123">
        <f t="shared" si="319"/>
        <v>0</v>
      </c>
      <c r="Z1063" s="123">
        <f t="shared" si="320"/>
        <v>0</v>
      </c>
      <c r="AA1063" s="123">
        <f t="shared" si="321"/>
        <v>0</v>
      </c>
      <c r="AC1063" s="125">
        <v>20</v>
      </c>
      <c r="AD1063" s="125">
        <f>F1063*0.690102000612879</f>
        <v>0</v>
      </c>
      <c r="AE1063" s="125">
        <f>F1063*(1-0.690102000612879)</f>
        <v>0</v>
      </c>
    </row>
    <row r="1064" spans="1:31" s="90" customFormat="1" ht="11.25">
      <c r="A1064" s="122" t="s">
        <v>803</v>
      </c>
      <c r="B1064" s="122" t="s">
        <v>1868</v>
      </c>
      <c r="C1064" s="122" t="s">
        <v>3121</v>
      </c>
      <c r="D1064" s="122" t="s">
        <v>3455</v>
      </c>
      <c r="E1064" s="123">
        <v>120</v>
      </c>
      <c r="F1064" s="123">
        <v>0</v>
      </c>
      <c r="G1064" s="123">
        <f t="shared" si="314"/>
        <v>0</v>
      </c>
      <c r="H1064" s="123">
        <f t="shared" si="315"/>
        <v>0</v>
      </c>
      <c r="I1064" s="123">
        <f t="shared" si="316"/>
        <v>0</v>
      </c>
      <c r="J1064" s="123">
        <v>0.00309</v>
      </c>
      <c r="K1064" s="123">
        <f t="shared" si="317"/>
        <v>0.37079999999999996</v>
      </c>
      <c r="M1064" s="124" t="s">
        <v>8</v>
      </c>
      <c r="N1064" s="123">
        <f t="shared" si="318"/>
        <v>0</v>
      </c>
      <c r="Y1064" s="123">
        <f t="shared" si="319"/>
        <v>0</v>
      </c>
      <c r="Z1064" s="123">
        <f t="shared" si="320"/>
        <v>0</v>
      </c>
      <c r="AA1064" s="123">
        <f t="shared" si="321"/>
        <v>0</v>
      </c>
      <c r="AC1064" s="125">
        <v>20</v>
      </c>
      <c r="AD1064" s="125">
        <f>F1064*0.637088514996342</f>
        <v>0</v>
      </c>
      <c r="AE1064" s="125">
        <f>F1064*(1-0.637088514996342)</f>
        <v>0</v>
      </c>
    </row>
    <row r="1065" spans="1:31" s="90" customFormat="1" ht="11.25">
      <c r="A1065" s="122" t="s">
        <v>804</v>
      </c>
      <c r="B1065" s="122" t="s">
        <v>1869</v>
      </c>
      <c r="C1065" s="122" t="s">
        <v>3122</v>
      </c>
      <c r="D1065" s="122" t="s">
        <v>3455</v>
      </c>
      <c r="E1065" s="123">
        <v>40</v>
      </c>
      <c r="F1065" s="123">
        <v>0</v>
      </c>
      <c r="G1065" s="123">
        <f t="shared" si="314"/>
        <v>0</v>
      </c>
      <c r="H1065" s="123">
        <f t="shared" si="315"/>
        <v>0</v>
      </c>
      <c r="I1065" s="123">
        <f t="shared" si="316"/>
        <v>0</v>
      </c>
      <c r="J1065" s="123">
        <v>0.00394</v>
      </c>
      <c r="K1065" s="123">
        <f t="shared" si="317"/>
        <v>0.1576</v>
      </c>
      <c r="M1065" s="124" t="s">
        <v>8</v>
      </c>
      <c r="N1065" s="123">
        <f t="shared" si="318"/>
        <v>0</v>
      </c>
      <c r="Y1065" s="123">
        <f t="shared" si="319"/>
        <v>0</v>
      </c>
      <c r="Z1065" s="123">
        <f t="shared" si="320"/>
        <v>0</v>
      </c>
      <c r="AA1065" s="123">
        <f t="shared" si="321"/>
        <v>0</v>
      </c>
      <c r="AC1065" s="125">
        <v>20</v>
      </c>
      <c r="AD1065" s="125">
        <f>F1065*0.669761808639483</f>
        <v>0</v>
      </c>
      <c r="AE1065" s="125">
        <f>F1065*(1-0.669761808639483)</f>
        <v>0</v>
      </c>
    </row>
    <row r="1066" spans="1:31" s="90" customFormat="1" ht="11.25">
      <c r="A1066" s="122" t="s">
        <v>805</v>
      </c>
      <c r="B1066" s="122" t="s">
        <v>1870</v>
      </c>
      <c r="C1066" s="122" t="s">
        <v>3123</v>
      </c>
      <c r="D1066" s="122" t="s">
        <v>3455</v>
      </c>
      <c r="E1066" s="123">
        <v>35</v>
      </c>
      <c r="F1066" s="123">
        <v>0</v>
      </c>
      <c r="G1066" s="123">
        <f t="shared" si="314"/>
        <v>0</v>
      </c>
      <c r="H1066" s="123">
        <f t="shared" si="315"/>
        <v>0</v>
      </c>
      <c r="I1066" s="123">
        <f t="shared" si="316"/>
        <v>0</v>
      </c>
      <c r="J1066" s="123">
        <v>0</v>
      </c>
      <c r="K1066" s="123">
        <f t="shared" si="317"/>
        <v>0</v>
      </c>
      <c r="M1066" s="124" t="s">
        <v>8</v>
      </c>
      <c r="N1066" s="123">
        <f t="shared" si="318"/>
        <v>0</v>
      </c>
      <c r="Y1066" s="123">
        <f t="shared" si="319"/>
        <v>0</v>
      </c>
      <c r="Z1066" s="123">
        <f t="shared" si="320"/>
        <v>0</v>
      </c>
      <c r="AA1066" s="123">
        <f t="shared" si="321"/>
        <v>0</v>
      </c>
      <c r="AC1066" s="125">
        <v>20</v>
      </c>
      <c r="AD1066" s="125">
        <f>F1066*0.702333287311887</f>
        <v>0</v>
      </c>
      <c r="AE1066" s="125">
        <f>F1066*(1-0.702333287311887)</f>
        <v>0</v>
      </c>
    </row>
    <row r="1067" spans="1:31" s="90" customFormat="1" ht="11.25">
      <c r="A1067" s="122" t="s">
        <v>806</v>
      </c>
      <c r="B1067" s="122" t="s">
        <v>1871</v>
      </c>
      <c r="C1067" s="122" t="s">
        <v>3124</v>
      </c>
      <c r="D1067" s="122" t="s">
        <v>3455</v>
      </c>
      <c r="E1067" s="123">
        <v>85</v>
      </c>
      <c r="F1067" s="123">
        <v>0</v>
      </c>
      <c r="G1067" s="123">
        <f t="shared" si="314"/>
        <v>0</v>
      </c>
      <c r="H1067" s="123">
        <f t="shared" si="315"/>
        <v>0</v>
      </c>
      <c r="I1067" s="123">
        <f t="shared" si="316"/>
        <v>0</v>
      </c>
      <c r="J1067" s="123">
        <v>0.0015</v>
      </c>
      <c r="K1067" s="123">
        <f t="shared" si="317"/>
        <v>0.1275</v>
      </c>
      <c r="M1067" s="124" t="s">
        <v>8</v>
      </c>
      <c r="N1067" s="123">
        <f t="shared" si="318"/>
        <v>0</v>
      </c>
      <c r="Y1067" s="123">
        <f t="shared" si="319"/>
        <v>0</v>
      </c>
      <c r="Z1067" s="123">
        <f t="shared" si="320"/>
        <v>0</v>
      </c>
      <c r="AA1067" s="123">
        <f t="shared" si="321"/>
        <v>0</v>
      </c>
      <c r="AC1067" s="125">
        <v>20</v>
      </c>
      <c r="AD1067" s="125">
        <f>F1067*0.828662992926095</f>
        <v>0</v>
      </c>
      <c r="AE1067" s="125">
        <f>F1067*(1-0.828662992926095)</f>
        <v>0</v>
      </c>
    </row>
    <row r="1068" spans="1:31" s="90" customFormat="1" ht="11.25">
      <c r="A1068" s="131" t="s">
        <v>807</v>
      </c>
      <c r="B1068" s="131" t="s">
        <v>1872</v>
      </c>
      <c r="C1068" s="131" t="s">
        <v>3125</v>
      </c>
      <c r="D1068" s="131" t="s">
        <v>3466</v>
      </c>
      <c r="E1068" s="132">
        <v>285</v>
      </c>
      <c r="F1068" s="132">
        <v>0</v>
      </c>
      <c r="G1068" s="132">
        <f t="shared" si="314"/>
        <v>0</v>
      </c>
      <c r="H1068" s="132">
        <f t="shared" si="315"/>
        <v>0</v>
      </c>
      <c r="I1068" s="132">
        <f t="shared" si="316"/>
        <v>0</v>
      </c>
      <c r="J1068" s="132">
        <v>0.001</v>
      </c>
      <c r="K1068" s="132">
        <f t="shared" si="317"/>
        <v>0.28500000000000003</v>
      </c>
      <c r="M1068" s="133" t="s">
        <v>1101</v>
      </c>
      <c r="N1068" s="132">
        <f t="shared" si="318"/>
        <v>0</v>
      </c>
      <c r="Y1068" s="132">
        <f t="shared" si="319"/>
        <v>0</v>
      </c>
      <c r="Z1068" s="132">
        <f t="shared" si="320"/>
        <v>0</v>
      </c>
      <c r="AA1068" s="132">
        <f t="shared" si="321"/>
        <v>0</v>
      </c>
      <c r="AC1068" s="125">
        <v>20</v>
      </c>
      <c r="AD1068" s="125">
        <f aca="true" t="shared" si="322" ref="AD1068:AD1076">F1068*1</f>
        <v>0</v>
      </c>
      <c r="AE1068" s="125">
        <f aca="true" t="shared" si="323" ref="AE1068:AE1076">F1068*(1-1)</f>
        <v>0</v>
      </c>
    </row>
    <row r="1069" spans="1:31" s="90" customFormat="1" ht="11.25">
      <c r="A1069" s="131" t="s">
        <v>808</v>
      </c>
      <c r="B1069" s="131" t="s">
        <v>1873</v>
      </c>
      <c r="C1069" s="131" t="s">
        <v>3126</v>
      </c>
      <c r="D1069" s="131" t="s">
        <v>3456</v>
      </c>
      <c r="E1069" s="132">
        <v>1</v>
      </c>
      <c r="F1069" s="132">
        <v>0</v>
      </c>
      <c r="G1069" s="132">
        <f t="shared" si="314"/>
        <v>0</v>
      </c>
      <c r="H1069" s="132">
        <f t="shared" si="315"/>
        <v>0</v>
      </c>
      <c r="I1069" s="132">
        <f t="shared" si="316"/>
        <v>0</v>
      </c>
      <c r="J1069" s="132">
        <v>0.011</v>
      </c>
      <c r="K1069" s="132">
        <f t="shared" si="317"/>
        <v>0.011</v>
      </c>
      <c r="M1069" s="133" t="s">
        <v>1101</v>
      </c>
      <c r="N1069" s="132">
        <f t="shared" si="318"/>
        <v>0</v>
      </c>
      <c r="Y1069" s="132">
        <f t="shared" si="319"/>
        <v>0</v>
      </c>
      <c r="Z1069" s="132">
        <f t="shared" si="320"/>
        <v>0</v>
      </c>
      <c r="AA1069" s="132">
        <f t="shared" si="321"/>
        <v>0</v>
      </c>
      <c r="AC1069" s="125">
        <v>20</v>
      </c>
      <c r="AD1069" s="125">
        <f t="shared" si="322"/>
        <v>0</v>
      </c>
      <c r="AE1069" s="125">
        <f t="shared" si="323"/>
        <v>0</v>
      </c>
    </row>
    <row r="1070" spans="1:31" s="90" customFormat="1" ht="11.25">
      <c r="A1070" s="131" t="s">
        <v>809</v>
      </c>
      <c r="B1070" s="131" t="s">
        <v>1874</v>
      </c>
      <c r="C1070" s="131" t="s">
        <v>3127</v>
      </c>
      <c r="D1070" s="131" t="s">
        <v>3456</v>
      </c>
      <c r="E1070" s="132">
        <v>1</v>
      </c>
      <c r="F1070" s="132">
        <v>0</v>
      </c>
      <c r="G1070" s="132">
        <f t="shared" si="314"/>
        <v>0</v>
      </c>
      <c r="H1070" s="132">
        <f t="shared" si="315"/>
        <v>0</v>
      </c>
      <c r="I1070" s="132">
        <f t="shared" si="316"/>
        <v>0</v>
      </c>
      <c r="J1070" s="132">
        <v>0.011</v>
      </c>
      <c r="K1070" s="132">
        <f t="shared" si="317"/>
        <v>0.011</v>
      </c>
      <c r="M1070" s="133" t="s">
        <v>1101</v>
      </c>
      <c r="N1070" s="132">
        <f t="shared" si="318"/>
        <v>0</v>
      </c>
      <c r="Y1070" s="132">
        <f t="shared" si="319"/>
        <v>0</v>
      </c>
      <c r="Z1070" s="132">
        <f t="shared" si="320"/>
        <v>0</v>
      </c>
      <c r="AA1070" s="132">
        <f t="shared" si="321"/>
        <v>0</v>
      </c>
      <c r="AC1070" s="125">
        <v>20</v>
      </c>
      <c r="AD1070" s="125">
        <f t="shared" si="322"/>
        <v>0</v>
      </c>
      <c r="AE1070" s="125">
        <f t="shared" si="323"/>
        <v>0</v>
      </c>
    </row>
    <row r="1071" spans="1:31" s="90" customFormat="1" ht="11.25">
      <c r="A1071" s="131" t="s">
        <v>810</v>
      </c>
      <c r="B1071" s="131" t="s">
        <v>1875</v>
      </c>
      <c r="C1071" s="131" t="s">
        <v>3128</v>
      </c>
      <c r="D1071" s="131" t="s">
        <v>3456</v>
      </c>
      <c r="E1071" s="132">
        <v>1</v>
      </c>
      <c r="F1071" s="132">
        <v>0</v>
      </c>
      <c r="G1071" s="132">
        <f t="shared" si="314"/>
        <v>0</v>
      </c>
      <c r="H1071" s="132">
        <f t="shared" si="315"/>
        <v>0</v>
      </c>
      <c r="I1071" s="132">
        <f t="shared" si="316"/>
        <v>0</v>
      </c>
      <c r="J1071" s="132">
        <v>0.033</v>
      </c>
      <c r="K1071" s="132">
        <f t="shared" si="317"/>
        <v>0.033</v>
      </c>
      <c r="M1071" s="133" t="s">
        <v>1101</v>
      </c>
      <c r="N1071" s="132">
        <f t="shared" si="318"/>
        <v>0</v>
      </c>
      <c r="Y1071" s="132">
        <f t="shared" si="319"/>
        <v>0</v>
      </c>
      <c r="Z1071" s="132">
        <f t="shared" si="320"/>
        <v>0</v>
      </c>
      <c r="AA1071" s="132">
        <f t="shared" si="321"/>
        <v>0</v>
      </c>
      <c r="AC1071" s="125">
        <v>20</v>
      </c>
      <c r="AD1071" s="125">
        <f t="shared" si="322"/>
        <v>0</v>
      </c>
      <c r="AE1071" s="125">
        <f t="shared" si="323"/>
        <v>0</v>
      </c>
    </row>
    <row r="1072" spans="1:31" s="90" customFormat="1" ht="11.25">
      <c r="A1072" s="131" t="s">
        <v>811</v>
      </c>
      <c r="B1072" s="131" t="s">
        <v>1876</v>
      </c>
      <c r="C1072" s="131" t="s">
        <v>3129</v>
      </c>
      <c r="D1072" s="131" t="s">
        <v>3456</v>
      </c>
      <c r="E1072" s="132">
        <v>1</v>
      </c>
      <c r="F1072" s="132">
        <v>0</v>
      </c>
      <c r="G1072" s="132">
        <f t="shared" si="314"/>
        <v>0</v>
      </c>
      <c r="H1072" s="132">
        <f t="shared" si="315"/>
        <v>0</v>
      </c>
      <c r="I1072" s="132">
        <f t="shared" si="316"/>
        <v>0</v>
      </c>
      <c r="J1072" s="132">
        <v>0.012</v>
      </c>
      <c r="K1072" s="132">
        <f t="shared" si="317"/>
        <v>0.012</v>
      </c>
      <c r="M1072" s="133" t="s">
        <v>1101</v>
      </c>
      <c r="N1072" s="132">
        <f t="shared" si="318"/>
        <v>0</v>
      </c>
      <c r="Y1072" s="132">
        <f t="shared" si="319"/>
        <v>0</v>
      </c>
      <c r="Z1072" s="132">
        <f t="shared" si="320"/>
        <v>0</v>
      </c>
      <c r="AA1072" s="132">
        <f t="shared" si="321"/>
        <v>0</v>
      </c>
      <c r="AC1072" s="125">
        <v>20</v>
      </c>
      <c r="AD1072" s="125">
        <f t="shared" si="322"/>
        <v>0</v>
      </c>
      <c r="AE1072" s="125">
        <f t="shared" si="323"/>
        <v>0</v>
      </c>
    </row>
    <row r="1073" spans="1:31" s="90" customFormat="1" ht="11.25">
      <c r="A1073" s="131" t="s">
        <v>812</v>
      </c>
      <c r="B1073" s="131" t="s">
        <v>1877</v>
      </c>
      <c r="C1073" s="131" t="s">
        <v>3130</v>
      </c>
      <c r="D1073" s="131" t="s">
        <v>3456</v>
      </c>
      <c r="E1073" s="132">
        <v>1</v>
      </c>
      <c r="F1073" s="132">
        <v>0</v>
      </c>
      <c r="G1073" s="132">
        <f t="shared" si="314"/>
        <v>0</v>
      </c>
      <c r="H1073" s="132">
        <f t="shared" si="315"/>
        <v>0</v>
      </c>
      <c r="I1073" s="132">
        <f t="shared" si="316"/>
        <v>0</v>
      </c>
      <c r="J1073" s="132">
        <v>0.016</v>
      </c>
      <c r="K1073" s="132">
        <f t="shared" si="317"/>
        <v>0.016</v>
      </c>
      <c r="M1073" s="133" t="s">
        <v>1101</v>
      </c>
      <c r="N1073" s="132">
        <f t="shared" si="318"/>
        <v>0</v>
      </c>
      <c r="Y1073" s="132">
        <f t="shared" si="319"/>
        <v>0</v>
      </c>
      <c r="Z1073" s="132">
        <f t="shared" si="320"/>
        <v>0</v>
      </c>
      <c r="AA1073" s="132">
        <f t="shared" si="321"/>
        <v>0</v>
      </c>
      <c r="AC1073" s="125">
        <v>20</v>
      </c>
      <c r="AD1073" s="125">
        <f t="shared" si="322"/>
        <v>0</v>
      </c>
      <c r="AE1073" s="125">
        <f t="shared" si="323"/>
        <v>0</v>
      </c>
    </row>
    <row r="1074" spans="1:31" s="90" customFormat="1" ht="11.25">
      <c r="A1074" s="131" t="s">
        <v>813</v>
      </c>
      <c r="B1074" s="131" t="s">
        <v>1878</v>
      </c>
      <c r="C1074" s="131" t="s">
        <v>3131</v>
      </c>
      <c r="D1074" s="131" t="s">
        <v>3456</v>
      </c>
      <c r="E1074" s="132">
        <v>1</v>
      </c>
      <c r="F1074" s="132">
        <v>0</v>
      </c>
      <c r="G1074" s="132">
        <f t="shared" si="314"/>
        <v>0</v>
      </c>
      <c r="H1074" s="132">
        <f t="shared" si="315"/>
        <v>0</v>
      </c>
      <c r="I1074" s="132">
        <f t="shared" si="316"/>
        <v>0</v>
      </c>
      <c r="J1074" s="132">
        <v>0.016</v>
      </c>
      <c r="K1074" s="132">
        <f t="shared" si="317"/>
        <v>0.016</v>
      </c>
      <c r="M1074" s="133" t="s">
        <v>1101</v>
      </c>
      <c r="N1074" s="132">
        <f t="shared" si="318"/>
        <v>0</v>
      </c>
      <c r="Y1074" s="132">
        <f t="shared" si="319"/>
        <v>0</v>
      </c>
      <c r="Z1074" s="132">
        <f t="shared" si="320"/>
        <v>0</v>
      </c>
      <c r="AA1074" s="132">
        <f t="shared" si="321"/>
        <v>0</v>
      </c>
      <c r="AC1074" s="125">
        <v>20</v>
      </c>
      <c r="AD1074" s="125">
        <f t="shared" si="322"/>
        <v>0</v>
      </c>
      <c r="AE1074" s="125">
        <f t="shared" si="323"/>
        <v>0</v>
      </c>
    </row>
    <row r="1075" spans="1:31" s="90" customFormat="1" ht="11.25">
      <c r="A1075" s="131" t="s">
        <v>814</v>
      </c>
      <c r="B1075" s="131" t="s">
        <v>1879</v>
      </c>
      <c r="C1075" s="131" t="s">
        <v>3132</v>
      </c>
      <c r="D1075" s="131" t="s">
        <v>3456</v>
      </c>
      <c r="E1075" s="132">
        <v>1</v>
      </c>
      <c r="F1075" s="132">
        <v>0</v>
      </c>
      <c r="G1075" s="132">
        <f t="shared" si="314"/>
        <v>0</v>
      </c>
      <c r="H1075" s="132">
        <f t="shared" si="315"/>
        <v>0</v>
      </c>
      <c r="I1075" s="132">
        <f t="shared" si="316"/>
        <v>0</v>
      </c>
      <c r="J1075" s="132">
        <v>0.033</v>
      </c>
      <c r="K1075" s="132">
        <f t="shared" si="317"/>
        <v>0.033</v>
      </c>
      <c r="M1075" s="133" t="s">
        <v>1101</v>
      </c>
      <c r="N1075" s="132">
        <f t="shared" si="318"/>
        <v>0</v>
      </c>
      <c r="Y1075" s="132">
        <f t="shared" si="319"/>
        <v>0</v>
      </c>
      <c r="Z1075" s="132">
        <f t="shared" si="320"/>
        <v>0</v>
      </c>
      <c r="AA1075" s="132">
        <f t="shared" si="321"/>
        <v>0</v>
      </c>
      <c r="AC1075" s="125">
        <v>20</v>
      </c>
      <c r="AD1075" s="125">
        <f t="shared" si="322"/>
        <v>0</v>
      </c>
      <c r="AE1075" s="125">
        <f t="shared" si="323"/>
        <v>0</v>
      </c>
    </row>
    <row r="1076" spans="1:31" s="90" customFormat="1" ht="11.25">
      <c r="A1076" s="131" t="s">
        <v>815</v>
      </c>
      <c r="B1076" s="131" t="s">
        <v>1880</v>
      </c>
      <c r="C1076" s="131" t="s">
        <v>3133</v>
      </c>
      <c r="D1076" s="131" t="s">
        <v>3456</v>
      </c>
      <c r="E1076" s="132">
        <v>1</v>
      </c>
      <c r="F1076" s="132">
        <v>0</v>
      </c>
      <c r="G1076" s="132">
        <f t="shared" si="314"/>
        <v>0</v>
      </c>
      <c r="H1076" s="132">
        <f t="shared" si="315"/>
        <v>0</v>
      </c>
      <c r="I1076" s="132">
        <f t="shared" si="316"/>
        <v>0</v>
      </c>
      <c r="J1076" s="132">
        <v>0.088</v>
      </c>
      <c r="K1076" s="132">
        <f t="shared" si="317"/>
        <v>0.088</v>
      </c>
      <c r="M1076" s="133" t="s">
        <v>1101</v>
      </c>
      <c r="N1076" s="132">
        <f t="shared" si="318"/>
        <v>0</v>
      </c>
      <c r="Y1076" s="132">
        <f t="shared" si="319"/>
        <v>0</v>
      </c>
      <c r="Z1076" s="132">
        <f t="shared" si="320"/>
        <v>0</v>
      </c>
      <c r="AA1076" s="132">
        <f t="shared" si="321"/>
        <v>0</v>
      </c>
      <c r="AC1076" s="125">
        <v>20</v>
      </c>
      <c r="AD1076" s="125">
        <f t="shared" si="322"/>
        <v>0</v>
      </c>
      <c r="AE1076" s="125">
        <f t="shared" si="323"/>
        <v>0</v>
      </c>
    </row>
    <row r="1077" spans="1:31" s="90" customFormat="1" ht="11.25">
      <c r="A1077" s="122" t="s">
        <v>816</v>
      </c>
      <c r="B1077" s="122" t="s">
        <v>1881</v>
      </c>
      <c r="C1077" s="122" t="s">
        <v>3134</v>
      </c>
      <c r="D1077" s="122" t="s">
        <v>3465</v>
      </c>
      <c r="E1077" s="123">
        <v>85</v>
      </c>
      <c r="F1077" s="123">
        <v>0</v>
      </c>
      <c r="G1077" s="123">
        <f t="shared" si="314"/>
        <v>0</v>
      </c>
      <c r="H1077" s="123">
        <f t="shared" si="315"/>
        <v>0</v>
      </c>
      <c r="I1077" s="123">
        <f t="shared" si="316"/>
        <v>0</v>
      </c>
      <c r="J1077" s="123">
        <v>0</v>
      </c>
      <c r="K1077" s="123">
        <f t="shared" si="317"/>
        <v>0</v>
      </c>
      <c r="M1077" s="124" t="s">
        <v>7</v>
      </c>
      <c r="N1077" s="123">
        <f t="shared" si="318"/>
        <v>0</v>
      </c>
      <c r="Y1077" s="123">
        <f t="shared" si="319"/>
        <v>0</v>
      </c>
      <c r="Z1077" s="123">
        <f t="shared" si="320"/>
        <v>0</v>
      </c>
      <c r="AA1077" s="123">
        <f t="shared" si="321"/>
        <v>0</v>
      </c>
      <c r="AC1077" s="125">
        <v>20</v>
      </c>
      <c r="AD1077" s="125">
        <f>F1077*0</f>
        <v>0</v>
      </c>
      <c r="AE1077" s="125">
        <f>F1077*(1-0)</f>
        <v>0</v>
      </c>
    </row>
    <row r="1078" s="90" customFormat="1" ht="11.25">
      <c r="C1078" s="126" t="s">
        <v>3135</v>
      </c>
    </row>
    <row r="1079" spans="1:31" s="90" customFormat="1" ht="11.25">
      <c r="A1079" s="122" t="s">
        <v>817</v>
      </c>
      <c r="B1079" s="122" t="s">
        <v>1882</v>
      </c>
      <c r="C1079" s="122" t="s">
        <v>3136</v>
      </c>
      <c r="D1079" s="122" t="s">
        <v>3465</v>
      </c>
      <c r="E1079" s="123">
        <v>62</v>
      </c>
      <c r="F1079" s="123">
        <v>0</v>
      </c>
      <c r="G1079" s="123">
        <f>ROUND(E1079*AD1079,2)</f>
        <v>0</v>
      </c>
      <c r="H1079" s="123">
        <f>I1079-G1079</f>
        <v>0</v>
      </c>
      <c r="I1079" s="123">
        <f>ROUND(E1079*F1079,2)</f>
        <v>0</v>
      </c>
      <c r="J1079" s="123">
        <v>0</v>
      </c>
      <c r="K1079" s="123">
        <f>E1079*J1079</f>
        <v>0</v>
      </c>
      <c r="M1079" s="124" t="s">
        <v>7</v>
      </c>
      <c r="N1079" s="123">
        <f>IF(M1079="5",H1079,0)</f>
        <v>0</v>
      </c>
      <c r="Y1079" s="123">
        <f>IF(AC1079=0,I1079,0)</f>
        <v>0</v>
      </c>
      <c r="Z1079" s="123">
        <f>IF(AC1079=14,I1079,0)</f>
        <v>0</v>
      </c>
      <c r="AA1079" s="123">
        <f>IF(AC1079=20,I1079,0)</f>
        <v>0</v>
      </c>
      <c r="AC1079" s="125">
        <v>20</v>
      </c>
      <c r="AD1079" s="125">
        <f>F1079*0</f>
        <v>0</v>
      </c>
      <c r="AE1079" s="125">
        <f>F1079*(1-0)</f>
        <v>0</v>
      </c>
    </row>
    <row r="1080" spans="1:36" s="90" customFormat="1" ht="11.25">
      <c r="A1080" s="127"/>
      <c r="B1080" s="128" t="s">
        <v>1883</v>
      </c>
      <c r="C1080" s="129" t="s">
        <v>3137</v>
      </c>
      <c r="D1080" s="130"/>
      <c r="E1080" s="130"/>
      <c r="F1080" s="130"/>
      <c r="G1080" s="121">
        <f>SUM(G1081:G1272)</f>
        <v>0</v>
      </c>
      <c r="H1080" s="121">
        <f>SUM(H1081:H1272)</f>
        <v>0</v>
      </c>
      <c r="I1080" s="121">
        <f>G1080+H1080</f>
        <v>0</v>
      </c>
      <c r="J1080" s="114"/>
      <c r="K1080" s="121">
        <f>SUM(K1081:K1272)</f>
        <v>1.0149</v>
      </c>
      <c r="O1080" s="121">
        <f>IF(P1080="PR",I1080,SUM(N1081:N1272))</f>
        <v>0</v>
      </c>
      <c r="P1080" s="114" t="s">
        <v>3491</v>
      </c>
      <c r="Q1080" s="121">
        <f>IF(P1080="HS",G1080,0)</f>
        <v>0</v>
      </c>
      <c r="R1080" s="121">
        <f>IF(P1080="HS",H1080-O1080,0)</f>
        <v>0</v>
      </c>
      <c r="S1080" s="121">
        <f>IF(P1080="PS",G1080,0)</f>
        <v>0</v>
      </c>
      <c r="T1080" s="121">
        <f>IF(P1080="PS",H1080-O1080,0)</f>
        <v>0</v>
      </c>
      <c r="U1080" s="121">
        <f>IF(P1080="MP",G1080,0)</f>
        <v>0</v>
      </c>
      <c r="V1080" s="121">
        <f>IF(P1080="MP",H1080-O1080,0)</f>
        <v>0</v>
      </c>
      <c r="W1080" s="121">
        <f>IF(P1080="OM",G1080,0)</f>
        <v>0</v>
      </c>
      <c r="X1080" s="114"/>
      <c r="AH1080" s="121">
        <f>SUM(Y1081:Y1272)</f>
        <v>0</v>
      </c>
      <c r="AI1080" s="121">
        <f>SUM(Z1081:Z1272)</f>
        <v>0</v>
      </c>
      <c r="AJ1080" s="121">
        <f>SUM(AA1081:AA1272)</f>
        <v>0</v>
      </c>
    </row>
    <row r="1081" spans="1:31" s="90" customFormat="1" ht="11.25">
      <c r="A1081" s="122" t="s">
        <v>818</v>
      </c>
      <c r="B1081" s="122" t="s">
        <v>1884</v>
      </c>
      <c r="C1081" s="122" t="s">
        <v>3138</v>
      </c>
      <c r="D1081" s="122" t="s">
        <v>3455</v>
      </c>
      <c r="E1081" s="123">
        <v>250</v>
      </c>
      <c r="F1081" s="123">
        <v>0</v>
      </c>
      <c r="G1081" s="123">
        <f>ROUND(E1081*AD1081,2)</f>
        <v>0</v>
      </c>
      <c r="H1081" s="123">
        <f>I1081-G1081</f>
        <v>0</v>
      </c>
      <c r="I1081" s="123">
        <f>ROUND(E1081*F1081,2)</f>
        <v>0</v>
      </c>
      <c r="J1081" s="123">
        <v>4E-05</v>
      </c>
      <c r="K1081" s="123">
        <f>E1081*J1081</f>
        <v>0.01</v>
      </c>
      <c r="M1081" s="124" t="s">
        <v>8</v>
      </c>
      <c r="N1081" s="123">
        <f>IF(M1081="5",H1081,0)</f>
        <v>0</v>
      </c>
      <c r="Y1081" s="123">
        <f>IF(AC1081=0,I1081,0)</f>
        <v>0</v>
      </c>
      <c r="Z1081" s="123">
        <f>IF(AC1081=14,I1081,0)</f>
        <v>0</v>
      </c>
      <c r="AA1081" s="123">
        <f>IF(AC1081=20,I1081,0)</f>
        <v>0</v>
      </c>
      <c r="AC1081" s="125">
        <v>20</v>
      </c>
      <c r="AD1081" s="125">
        <f>F1081*0.24768353528154</f>
        <v>0</v>
      </c>
      <c r="AE1081" s="125">
        <f>F1081*(1-0.24768353528154)</f>
        <v>0</v>
      </c>
    </row>
    <row r="1082" s="90" customFormat="1" ht="11.25">
      <c r="C1082" s="126" t="s">
        <v>3139</v>
      </c>
    </row>
    <row r="1083" spans="1:31" s="90" customFormat="1" ht="11.25">
      <c r="A1083" s="122" t="s">
        <v>819</v>
      </c>
      <c r="B1083" s="122" t="s">
        <v>1885</v>
      </c>
      <c r="C1083" s="122" t="s">
        <v>3140</v>
      </c>
      <c r="D1083" s="122" t="s">
        <v>3455</v>
      </c>
      <c r="E1083" s="123">
        <v>400</v>
      </c>
      <c r="F1083" s="123">
        <v>0</v>
      </c>
      <c r="G1083" s="123">
        <f>ROUND(E1083*AD1083,2)</f>
        <v>0</v>
      </c>
      <c r="H1083" s="123">
        <f>I1083-G1083</f>
        <v>0</v>
      </c>
      <c r="I1083" s="123">
        <f>ROUND(E1083*F1083,2)</f>
        <v>0</v>
      </c>
      <c r="J1083" s="123">
        <v>6E-05</v>
      </c>
      <c r="K1083" s="123">
        <f>E1083*J1083</f>
        <v>0.024</v>
      </c>
      <c r="M1083" s="124" t="s">
        <v>8</v>
      </c>
      <c r="N1083" s="123">
        <f>IF(M1083="5",H1083,0)</f>
        <v>0</v>
      </c>
      <c r="Y1083" s="123">
        <f>IF(AC1083=0,I1083,0)</f>
        <v>0</v>
      </c>
      <c r="Z1083" s="123">
        <f>IF(AC1083=14,I1083,0)</f>
        <v>0</v>
      </c>
      <c r="AA1083" s="123">
        <f>IF(AC1083=20,I1083,0)</f>
        <v>0</v>
      </c>
      <c r="AC1083" s="125">
        <v>20</v>
      </c>
      <c r="AD1083" s="125">
        <f>F1083*0.31279771355986</f>
        <v>0</v>
      </c>
      <c r="AE1083" s="125">
        <f>F1083*(1-0.31279771355986)</f>
        <v>0</v>
      </c>
    </row>
    <row r="1084" s="90" customFormat="1" ht="11.25">
      <c r="C1084" s="126" t="s">
        <v>3141</v>
      </c>
    </row>
    <row r="1085" spans="1:31" s="90" customFormat="1" ht="11.25">
      <c r="A1085" s="122" t="s">
        <v>820</v>
      </c>
      <c r="B1085" s="122" t="s">
        <v>1886</v>
      </c>
      <c r="C1085" s="122" t="s">
        <v>3142</v>
      </c>
      <c r="D1085" s="122" t="s">
        <v>3455</v>
      </c>
      <c r="E1085" s="123">
        <v>200</v>
      </c>
      <c r="F1085" s="123">
        <v>0</v>
      </c>
      <c r="G1085" s="123">
        <f>ROUND(E1085*AD1085,2)</f>
        <v>0</v>
      </c>
      <c r="H1085" s="123">
        <f>I1085-G1085</f>
        <v>0</v>
      </c>
      <c r="I1085" s="123">
        <f>ROUND(E1085*F1085,2)</f>
        <v>0</v>
      </c>
      <c r="J1085" s="123">
        <v>0.00017</v>
      </c>
      <c r="K1085" s="123">
        <f>E1085*J1085</f>
        <v>0.034</v>
      </c>
      <c r="M1085" s="124" t="s">
        <v>8</v>
      </c>
      <c r="N1085" s="123">
        <f>IF(M1085="5",H1085,0)</f>
        <v>0</v>
      </c>
      <c r="Y1085" s="123">
        <f>IF(AC1085=0,I1085,0)</f>
        <v>0</v>
      </c>
      <c r="Z1085" s="123">
        <f>IF(AC1085=14,I1085,0)</f>
        <v>0</v>
      </c>
      <c r="AA1085" s="123">
        <f>IF(AC1085=20,I1085,0)</f>
        <v>0</v>
      </c>
      <c r="AC1085" s="125">
        <v>20</v>
      </c>
      <c r="AD1085" s="125">
        <f>F1085*0.485793212312549</f>
        <v>0</v>
      </c>
      <c r="AE1085" s="125">
        <f>F1085*(1-0.485793212312549)</f>
        <v>0</v>
      </c>
    </row>
    <row r="1086" s="90" customFormat="1" ht="11.25">
      <c r="C1086" s="126" t="s">
        <v>3143</v>
      </c>
    </row>
    <row r="1087" spans="1:31" s="90" customFormat="1" ht="11.25">
      <c r="A1087" s="122" t="s">
        <v>821</v>
      </c>
      <c r="B1087" s="122" t="s">
        <v>1770</v>
      </c>
      <c r="C1087" s="122" t="s">
        <v>3144</v>
      </c>
      <c r="D1087" s="122" t="s">
        <v>3455</v>
      </c>
      <c r="E1087" s="123">
        <v>150</v>
      </c>
      <c r="F1087" s="123">
        <v>0</v>
      </c>
      <c r="G1087" s="123">
        <f>ROUND(E1087*AD1087,2)</f>
        <v>0</v>
      </c>
      <c r="H1087" s="123">
        <f>I1087-G1087</f>
        <v>0</v>
      </c>
      <c r="I1087" s="123">
        <f>ROUND(E1087*F1087,2)</f>
        <v>0</v>
      </c>
      <c r="J1087" s="123">
        <v>0.00012</v>
      </c>
      <c r="K1087" s="123">
        <f>E1087*J1087</f>
        <v>0.018000000000000002</v>
      </c>
      <c r="M1087" s="124" t="s">
        <v>8</v>
      </c>
      <c r="N1087" s="123">
        <f>IF(M1087="5",H1087,0)</f>
        <v>0</v>
      </c>
      <c r="Y1087" s="123">
        <f>IF(AC1087=0,I1087,0)</f>
        <v>0</v>
      </c>
      <c r="Z1087" s="123">
        <f>IF(AC1087=14,I1087,0)</f>
        <v>0</v>
      </c>
      <c r="AA1087" s="123">
        <f>IF(AC1087=20,I1087,0)</f>
        <v>0</v>
      </c>
      <c r="AC1087" s="125">
        <v>20</v>
      </c>
      <c r="AD1087" s="125">
        <f>F1087*0.317044100119189</f>
        <v>0</v>
      </c>
      <c r="AE1087" s="125">
        <f>F1087*(1-0.317044100119189)</f>
        <v>0</v>
      </c>
    </row>
    <row r="1088" s="90" customFormat="1" ht="11.25">
      <c r="C1088" s="126" t="s">
        <v>3145</v>
      </c>
    </row>
    <row r="1089" spans="1:31" s="90" customFormat="1" ht="11.25">
      <c r="A1089" s="122" t="s">
        <v>822</v>
      </c>
      <c r="B1089" s="122" t="s">
        <v>1887</v>
      </c>
      <c r="C1089" s="122" t="s">
        <v>3146</v>
      </c>
      <c r="D1089" s="122" t="s">
        <v>3455</v>
      </c>
      <c r="E1089" s="123">
        <v>200</v>
      </c>
      <c r="F1089" s="123">
        <v>0</v>
      </c>
      <c r="G1089" s="123">
        <f>ROUND(E1089*AD1089,2)</f>
        <v>0</v>
      </c>
      <c r="H1089" s="123">
        <f>I1089-G1089</f>
        <v>0</v>
      </c>
      <c r="I1089" s="123">
        <f>ROUND(E1089*F1089,2)</f>
        <v>0</v>
      </c>
      <c r="J1089" s="123">
        <v>0.00015</v>
      </c>
      <c r="K1089" s="123">
        <f>E1089*J1089</f>
        <v>0.03</v>
      </c>
      <c r="M1089" s="124" t="s">
        <v>8</v>
      </c>
      <c r="N1089" s="123">
        <f>IF(M1089="5",H1089,0)</f>
        <v>0</v>
      </c>
      <c r="Y1089" s="123">
        <f>IF(AC1089=0,I1089,0)</f>
        <v>0</v>
      </c>
      <c r="Z1089" s="123">
        <f>IF(AC1089=14,I1089,0)</f>
        <v>0</v>
      </c>
      <c r="AA1089" s="123">
        <f>IF(AC1089=20,I1089,0)</f>
        <v>0</v>
      </c>
      <c r="AC1089" s="125">
        <v>20</v>
      </c>
      <c r="AD1089" s="125">
        <f>F1089*0.392787046123651</f>
        <v>0</v>
      </c>
      <c r="AE1089" s="125">
        <f>F1089*(1-0.392787046123651)</f>
        <v>0</v>
      </c>
    </row>
    <row r="1090" s="90" customFormat="1" ht="11.25">
      <c r="C1090" s="126" t="s">
        <v>3147</v>
      </c>
    </row>
    <row r="1091" spans="1:31" s="90" customFormat="1" ht="11.25">
      <c r="A1091" s="122" t="s">
        <v>823</v>
      </c>
      <c r="B1091" s="122" t="s">
        <v>1774</v>
      </c>
      <c r="C1091" s="122" t="s">
        <v>3148</v>
      </c>
      <c r="D1091" s="122" t="s">
        <v>3456</v>
      </c>
      <c r="E1091" s="123">
        <v>40</v>
      </c>
      <c r="F1091" s="123">
        <v>0</v>
      </c>
      <c r="G1091" s="123">
        <f>ROUND(E1091*AD1091,2)</f>
        <v>0</v>
      </c>
      <c r="H1091" s="123">
        <f>I1091-G1091</f>
        <v>0</v>
      </c>
      <c r="I1091" s="123">
        <f>ROUND(E1091*F1091,2)</f>
        <v>0</v>
      </c>
      <c r="J1091" s="123">
        <v>2E-05</v>
      </c>
      <c r="K1091" s="123">
        <f>E1091*J1091</f>
        <v>0.0008</v>
      </c>
      <c r="M1091" s="124" t="s">
        <v>8</v>
      </c>
      <c r="N1091" s="123">
        <f>IF(M1091="5",H1091,0)</f>
        <v>0</v>
      </c>
      <c r="Y1091" s="123">
        <f>IF(AC1091=0,I1091,0)</f>
        <v>0</v>
      </c>
      <c r="Z1091" s="123">
        <f>IF(AC1091=14,I1091,0)</f>
        <v>0</v>
      </c>
      <c r="AA1091" s="123">
        <f>IF(AC1091=20,I1091,0)</f>
        <v>0</v>
      </c>
      <c r="AC1091" s="125">
        <v>20</v>
      </c>
      <c r="AD1091" s="125">
        <f>F1091*0.149322879543835</f>
        <v>0</v>
      </c>
      <c r="AE1091" s="125">
        <f>F1091*(1-0.149322879543835)</f>
        <v>0</v>
      </c>
    </row>
    <row r="1092" s="90" customFormat="1" ht="11.25">
      <c r="C1092" s="126" t="s">
        <v>3149</v>
      </c>
    </row>
    <row r="1093" spans="1:31" s="90" customFormat="1" ht="11.25">
      <c r="A1093" s="122" t="s">
        <v>824</v>
      </c>
      <c r="B1093" s="122" t="s">
        <v>1888</v>
      </c>
      <c r="C1093" s="122" t="s">
        <v>3150</v>
      </c>
      <c r="D1093" s="122" t="s">
        <v>3456</v>
      </c>
      <c r="E1093" s="123">
        <v>50</v>
      </c>
      <c r="F1093" s="123">
        <v>0</v>
      </c>
      <c r="G1093" s="123">
        <f>ROUND(E1093*AD1093,2)</f>
        <v>0</v>
      </c>
      <c r="H1093" s="123">
        <f>I1093-G1093</f>
        <v>0</v>
      </c>
      <c r="I1093" s="123">
        <f>ROUND(E1093*F1093,2)</f>
        <v>0</v>
      </c>
      <c r="J1093" s="123">
        <v>4E-05</v>
      </c>
      <c r="K1093" s="123">
        <f>E1093*J1093</f>
        <v>0.002</v>
      </c>
      <c r="M1093" s="124" t="s">
        <v>8</v>
      </c>
      <c r="N1093" s="123">
        <f>IF(M1093="5",H1093,0)</f>
        <v>0</v>
      </c>
      <c r="Y1093" s="123">
        <f>IF(AC1093=0,I1093,0)</f>
        <v>0</v>
      </c>
      <c r="Z1093" s="123">
        <f>IF(AC1093=14,I1093,0)</f>
        <v>0</v>
      </c>
      <c r="AA1093" s="123">
        <f>IF(AC1093=20,I1093,0)</f>
        <v>0</v>
      </c>
      <c r="AC1093" s="125">
        <v>20</v>
      </c>
      <c r="AD1093" s="125">
        <f>F1093*0.249842866121936</f>
        <v>0</v>
      </c>
      <c r="AE1093" s="125">
        <f>F1093*(1-0.249842866121936)</f>
        <v>0</v>
      </c>
    </row>
    <row r="1094" s="90" customFormat="1" ht="11.25">
      <c r="C1094" s="126" t="s">
        <v>3151</v>
      </c>
    </row>
    <row r="1095" spans="1:31" s="90" customFormat="1" ht="11.25">
      <c r="A1095" s="122" t="s">
        <v>825</v>
      </c>
      <c r="B1095" s="122" t="s">
        <v>1889</v>
      </c>
      <c r="C1095" s="122" t="s">
        <v>3152</v>
      </c>
      <c r="D1095" s="122" t="s">
        <v>3456</v>
      </c>
      <c r="E1095" s="123">
        <v>5</v>
      </c>
      <c r="F1095" s="123">
        <v>0</v>
      </c>
      <c r="G1095" s="123">
        <f>ROUND(E1095*AD1095,2)</f>
        <v>0</v>
      </c>
      <c r="H1095" s="123">
        <f>I1095-G1095</f>
        <v>0</v>
      </c>
      <c r="I1095" s="123">
        <f>ROUND(E1095*F1095,2)</f>
        <v>0</v>
      </c>
      <c r="J1095" s="123">
        <v>0.00022</v>
      </c>
      <c r="K1095" s="123">
        <f>E1095*J1095</f>
        <v>0.0011</v>
      </c>
      <c r="M1095" s="124" t="s">
        <v>8</v>
      </c>
      <c r="N1095" s="123">
        <f>IF(M1095="5",H1095,0)</f>
        <v>0</v>
      </c>
      <c r="Y1095" s="123">
        <f>IF(AC1095=0,I1095,0)</f>
        <v>0</v>
      </c>
      <c r="Z1095" s="123">
        <f>IF(AC1095=14,I1095,0)</f>
        <v>0</v>
      </c>
      <c r="AA1095" s="123">
        <f>IF(AC1095=20,I1095,0)</f>
        <v>0</v>
      </c>
      <c r="AC1095" s="125">
        <v>20</v>
      </c>
      <c r="AD1095" s="125">
        <f>F1095*0.48065969565587</f>
        <v>0</v>
      </c>
      <c r="AE1095" s="125">
        <f>F1095*(1-0.48065969565587)</f>
        <v>0</v>
      </c>
    </row>
    <row r="1096" s="90" customFormat="1" ht="11.25">
      <c r="C1096" s="126" t="s">
        <v>3153</v>
      </c>
    </row>
    <row r="1097" spans="1:31" s="90" customFormat="1" ht="11.25">
      <c r="A1097" s="122" t="s">
        <v>826</v>
      </c>
      <c r="B1097" s="122" t="s">
        <v>1890</v>
      </c>
      <c r="C1097" s="122" t="s">
        <v>3154</v>
      </c>
      <c r="D1097" s="122" t="s">
        <v>3456</v>
      </c>
      <c r="E1097" s="123">
        <v>15</v>
      </c>
      <c r="F1097" s="123">
        <v>0</v>
      </c>
      <c r="G1097" s="123">
        <f>ROUND(E1097*AD1097,2)</f>
        <v>0</v>
      </c>
      <c r="H1097" s="123">
        <f>I1097-G1097</f>
        <v>0</v>
      </c>
      <c r="I1097" s="123">
        <f>ROUND(E1097*F1097,2)</f>
        <v>0</v>
      </c>
      <c r="J1097" s="123">
        <v>0.00018</v>
      </c>
      <c r="K1097" s="123">
        <f>E1097*J1097</f>
        <v>0.0027</v>
      </c>
      <c r="M1097" s="124" t="s">
        <v>8</v>
      </c>
      <c r="N1097" s="123">
        <f>IF(M1097="5",H1097,0)</f>
        <v>0</v>
      </c>
      <c r="Y1097" s="123">
        <f>IF(AC1097=0,I1097,0)</f>
        <v>0</v>
      </c>
      <c r="Z1097" s="123">
        <f>IF(AC1097=14,I1097,0)</f>
        <v>0</v>
      </c>
      <c r="AA1097" s="123">
        <f>IF(AC1097=20,I1097,0)</f>
        <v>0</v>
      </c>
      <c r="AC1097" s="125">
        <v>20</v>
      </c>
      <c r="AD1097" s="125">
        <f>F1097*0.353801885637321</f>
        <v>0</v>
      </c>
      <c r="AE1097" s="125">
        <f>F1097*(1-0.353801885637321)</f>
        <v>0</v>
      </c>
    </row>
    <row r="1098" s="90" customFormat="1" ht="11.25">
      <c r="C1098" s="126" t="s">
        <v>3155</v>
      </c>
    </row>
    <row r="1099" spans="1:31" s="90" customFormat="1" ht="11.25">
      <c r="A1099" s="122" t="s">
        <v>827</v>
      </c>
      <c r="B1099" s="122" t="s">
        <v>1891</v>
      </c>
      <c r="C1099" s="122" t="s">
        <v>3156</v>
      </c>
      <c r="D1099" s="122" t="s">
        <v>3459</v>
      </c>
      <c r="E1099" s="123">
        <v>5</v>
      </c>
      <c r="F1099" s="123">
        <v>0</v>
      </c>
      <c r="G1099" s="123">
        <f>ROUND(E1099*AD1099,2)</f>
        <v>0</v>
      </c>
      <c r="H1099" s="123">
        <f>I1099-G1099</f>
        <v>0</v>
      </c>
      <c r="I1099" s="123">
        <f>ROUND(E1099*F1099,2)</f>
        <v>0</v>
      </c>
      <c r="J1099" s="123">
        <v>0</v>
      </c>
      <c r="K1099" s="123">
        <f>E1099*J1099</f>
        <v>0</v>
      </c>
      <c r="M1099" s="124" t="s">
        <v>8</v>
      </c>
      <c r="N1099" s="123">
        <f>IF(M1099="5",H1099,0)</f>
        <v>0</v>
      </c>
      <c r="Y1099" s="123">
        <f>IF(AC1099=0,I1099,0)</f>
        <v>0</v>
      </c>
      <c r="Z1099" s="123">
        <f>IF(AC1099=14,I1099,0)</f>
        <v>0</v>
      </c>
      <c r="AA1099" s="123">
        <f>IF(AC1099=20,I1099,0)</f>
        <v>0</v>
      </c>
      <c r="AC1099" s="125">
        <v>20</v>
      </c>
      <c r="AD1099" s="125">
        <f>F1099*0</f>
        <v>0</v>
      </c>
      <c r="AE1099" s="125">
        <f>F1099*(1-0)</f>
        <v>0</v>
      </c>
    </row>
    <row r="1100" s="90" customFormat="1" ht="22.5">
      <c r="C1100" s="126" t="s">
        <v>3157</v>
      </c>
    </row>
    <row r="1101" spans="1:31" s="90" customFormat="1" ht="11.25">
      <c r="A1101" s="122" t="s">
        <v>828</v>
      </c>
      <c r="B1101" s="122" t="s">
        <v>1892</v>
      </c>
      <c r="C1101" s="122" t="s">
        <v>3158</v>
      </c>
      <c r="D1101" s="122" t="s">
        <v>3456</v>
      </c>
      <c r="E1101" s="123">
        <v>1</v>
      </c>
      <c r="F1101" s="123">
        <v>0</v>
      </c>
      <c r="G1101" s="123">
        <f>ROUND(E1101*AD1101,2)</f>
        <v>0</v>
      </c>
      <c r="H1101" s="123">
        <f>I1101-G1101</f>
        <v>0</v>
      </c>
      <c r="I1101" s="123">
        <f>ROUND(E1101*F1101,2)</f>
        <v>0</v>
      </c>
      <c r="J1101" s="123">
        <v>0</v>
      </c>
      <c r="K1101" s="123">
        <f>E1101*J1101</f>
        <v>0</v>
      </c>
      <c r="M1101" s="124" t="s">
        <v>8</v>
      </c>
      <c r="N1101" s="123">
        <f>IF(M1101="5",H1101,0)</f>
        <v>0</v>
      </c>
      <c r="Y1101" s="123">
        <f>IF(AC1101=0,I1101,0)</f>
        <v>0</v>
      </c>
      <c r="Z1101" s="123">
        <f>IF(AC1101=14,I1101,0)</f>
        <v>0</v>
      </c>
      <c r="AA1101" s="123">
        <f>IF(AC1101=20,I1101,0)</f>
        <v>0</v>
      </c>
      <c r="AC1101" s="125">
        <v>20</v>
      </c>
      <c r="AD1101" s="125">
        <f>F1101*0</f>
        <v>0</v>
      </c>
      <c r="AE1101" s="125">
        <f>F1101*(1-0)</f>
        <v>0</v>
      </c>
    </row>
    <row r="1102" spans="1:31" s="90" customFormat="1" ht="11.25">
      <c r="A1102" s="122" t="s">
        <v>829</v>
      </c>
      <c r="B1102" s="122" t="s">
        <v>1893</v>
      </c>
      <c r="C1102" s="122" t="s">
        <v>3159</v>
      </c>
      <c r="D1102" s="122" t="s">
        <v>3456</v>
      </c>
      <c r="E1102" s="123">
        <v>2</v>
      </c>
      <c r="F1102" s="123">
        <v>0</v>
      </c>
      <c r="G1102" s="123">
        <f>ROUND(E1102*AD1102,2)</f>
        <v>0</v>
      </c>
      <c r="H1102" s="123">
        <f>I1102-G1102</f>
        <v>0</v>
      </c>
      <c r="I1102" s="123">
        <f>ROUND(E1102*F1102,2)</f>
        <v>0</v>
      </c>
      <c r="J1102" s="123">
        <v>0</v>
      </c>
      <c r="K1102" s="123">
        <f>E1102*J1102</f>
        <v>0</v>
      </c>
      <c r="M1102" s="124" t="s">
        <v>8</v>
      </c>
      <c r="N1102" s="123">
        <f>IF(M1102="5",H1102,0)</f>
        <v>0</v>
      </c>
      <c r="Y1102" s="123">
        <f>IF(AC1102=0,I1102,0)</f>
        <v>0</v>
      </c>
      <c r="Z1102" s="123">
        <f>IF(AC1102=14,I1102,0)</f>
        <v>0</v>
      </c>
      <c r="AA1102" s="123">
        <f>IF(AC1102=20,I1102,0)</f>
        <v>0</v>
      </c>
      <c r="AC1102" s="125">
        <v>20</v>
      </c>
      <c r="AD1102" s="125">
        <f>F1102*0</f>
        <v>0</v>
      </c>
      <c r="AE1102" s="125">
        <f>F1102*(1-0)</f>
        <v>0</v>
      </c>
    </row>
    <row r="1103" spans="1:31" s="90" customFormat="1" ht="11.25">
      <c r="A1103" s="122" t="s">
        <v>830</v>
      </c>
      <c r="B1103" s="122" t="s">
        <v>1894</v>
      </c>
      <c r="C1103" s="122" t="s">
        <v>3160</v>
      </c>
      <c r="D1103" s="122" t="s">
        <v>3455</v>
      </c>
      <c r="E1103" s="123">
        <v>50</v>
      </c>
      <c r="F1103" s="123">
        <v>0</v>
      </c>
      <c r="G1103" s="123">
        <f>ROUND(E1103*AD1103,2)</f>
        <v>0</v>
      </c>
      <c r="H1103" s="123">
        <f>I1103-G1103</f>
        <v>0</v>
      </c>
      <c r="I1103" s="123">
        <f>ROUND(E1103*F1103,2)</f>
        <v>0</v>
      </c>
      <c r="J1103" s="123">
        <v>0.00017</v>
      </c>
      <c r="K1103" s="123">
        <f>E1103*J1103</f>
        <v>0.0085</v>
      </c>
      <c r="M1103" s="124" t="s">
        <v>8</v>
      </c>
      <c r="N1103" s="123">
        <f>IF(M1103="5",H1103,0)</f>
        <v>0</v>
      </c>
      <c r="Y1103" s="123">
        <f>IF(AC1103=0,I1103,0)</f>
        <v>0</v>
      </c>
      <c r="Z1103" s="123">
        <f>IF(AC1103=14,I1103,0)</f>
        <v>0</v>
      </c>
      <c r="AA1103" s="123">
        <f>IF(AC1103=20,I1103,0)</f>
        <v>0</v>
      </c>
      <c r="AC1103" s="125">
        <v>20</v>
      </c>
      <c r="AD1103" s="125">
        <f>F1103*0.331884057971015</f>
        <v>0</v>
      </c>
      <c r="AE1103" s="125">
        <f>F1103*(1-0.331884057971015)</f>
        <v>0</v>
      </c>
    </row>
    <row r="1104" s="90" customFormat="1" ht="11.25">
      <c r="C1104" s="126" t="s">
        <v>3161</v>
      </c>
    </row>
    <row r="1105" spans="1:31" s="90" customFormat="1" ht="11.25">
      <c r="A1105" s="122" t="s">
        <v>831</v>
      </c>
      <c r="B1105" s="122" t="s">
        <v>1895</v>
      </c>
      <c r="C1105" s="122" t="s">
        <v>3162</v>
      </c>
      <c r="D1105" s="122" t="s">
        <v>3455</v>
      </c>
      <c r="E1105" s="123">
        <v>450</v>
      </c>
      <c r="F1105" s="123">
        <v>0</v>
      </c>
      <c r="G1105" s="123">
        <f>ROUND(E1105*AD1105,2)</f>
        <v>0</v>
      </c>
      <c r="H1105" s="123">
        <f>I1105-G1105</f>
        <v>0</v>
      </c>
      <c r="I1105" s="123">
        <f>ROUND(E1105*F1105,2)</f>
        <v>0</v>
      </c>
      <c r="J1105" s="123">
        <v>0</v>
      </c>
      <c r="K1105" s="123">
        <f>E1105*J1105</f>
        <v>0</v>
      </c>
      <c r="M1105" s="124" t="s">
        <v>8</v>
      </c>
      <c r="N1105" s="123">
        <f>IF(M1105="5",H1105,0)</f>
        <v>0</v>
      </c>
      <c r="Y1105" s="123">
        <f>IF(AC1105=0,I1105,0)</f>
        <v>0</v>
      </c>
      <c r="Z1105" s="123">
        <f>IF(AC1105=14,I1105,0)</f>
        <v>0</v>
      </c>
      <c r="AA1105" s="123">
        <f>IF(AC1105=20,I1105,0)</f>
        <v>0</v>
      </c>
      <c r="AC1105" s="125">
        <v>20</v>
      </c>
      <c r="AD1105" s="125">
        <f>F1105*0</f>
        <v>0</v>
      </c>
      <c r="AE1105" s="125">
        <f>F1105*(1-0)</f>
        <v>0</v>
      </c>
    </row>
    <row r="1106" s="90" customFormat="1" ht="11.25">
      <c r="C1106" s="126" t="s">
        <v>3021</v>
      </c>
    </row>
    <row r="1107" spans="1:31" s="90" customFormat="1" ht="11.25">
      <c r="A1107" s="122" t="s">
        <v>832</v>
      </c>
      <c r="B1107" s="122" t="s">
        <v>1896</v>
      </c>
      <c r="C1107" s="122" t="s">
        <v>3163</v>
      </c>
      <c r="D1107" s="122" t="s">
        <v>3455</v>
      </c>
      <c r="E1107" s="123">
        <v>360</v>
      </c>
      <c r="F1107" s="123">
        <v>0</v>
      </c>
      <c r="G1107" s="123">
        <f>ROUND(E1107*AD1107,2)</f>
        <v>0</v>
      </c>
      <c r="H1107" s="123">
        <f>I1107-G1107</f>
        <v>0</v>
      </c>
      <c r="I1107" s="123">
        <f>ROUND(E1107*F1107,2)</f>
        <v>0</v>
      </c>
      <c r="J1107" s="123">
        <v>0</v>
      </c>
      <c r="K1107" s="123">
        <f>E1107*J1107</f>
        <v>0</v>
      </c>
      <c r="M1107" s="124" t="s">
        <v>8</v>
      </c>
      <c r="N1107" s="123">
        <f>IF(M1107="5",H1107,0)</f>
        <v>0</v>
      </c>
      <c r="Y1107" s="123">
        <f>IF(AC1107=0,I1107,0)</f>
        <v>0</v>
      </c>
      <c r="Z1107" s="123">
        <f>IF(AC1107=14,I1107,0)</f>
        <v>0</v>
      </c>
      <c r="AA1107" s="123">
        <f>IF(AC1107=20,I1107,0)</f>
        <v>0</v>
      </c>
      <c r="AC1107" s="125">
        <v>20</v>
      </c>
      <c r="AD1107" s="125">
        <f>F1107*0</f>
        <v>0</v>
      </c>
      <c r="AE1107" s="125">
        <f>F1107*(1-0)</f>
        <v>0</v>
      </c>
    </row>
    <row r="1108" s="90" customFormat="1" ht="11.25">
      <c r="C1108" s="126" t="s">
        <v>3021</v>
      </c>
    </row>
    <row r="1109" spans="1:31" s="90" customFormat="1" ht="11.25">
      <c r="A1109" s="122" t="s">
        <v>833</v>
      </c>
      <c r="B1109" s="122" t="s">
        <v>1897</v>
      </c>
      <c r="C1109" s="122" t="s">
        <v>3164</v>
      </c>
      <c r="D1109" s="122" t="s">
        <v>3455</v>
      </c>
      <c r="E1109" s="123">
        <v>230</v>
      </c>
      <c r="F1109" s="123">
        <v>0</v>
      </c>
      <c r="G1109" s="123">
        <f>ROUND(E1109*AD1109,2)</f>
        <v>0</v>
      </c>
      <c r="H1109" s="123">
        <f>I1109-G1109</f>
        <v>0</v>
      </c>
      <c r="I1109" s="123">
        <f>ROUND(E1109*F1109,2)</f>
        <v>0</v>
      </c>
      <c r="J1109" s="123">
        <v>0</v>
      </c>
      <c r="K1109" s="123">
        <f>E1109*J1109</f>
        <v>0</v>
      </c>
      <c r="M1109" s="124" t="s">
        <v>8</v>
      </c>
      <c r="N1109" s="123">
        <f>IF(M1109="5",H1109,0)</f>
        <v>0</v>
      </c>
      <c r="Y1109" s="123">
        <f>IF(AC1109=0,I1109,0)</f>
        <v>0</v>
      </c>
      <c r="Z1109" s="123">
        <f>IF(AC1109=14,I1109,0)</f>
        <v>0</v>
      </c>
      <c r="AA1109" s="123">
        <f>IF(AC1109=20,I1109,0)</f>
        <v>0</v>
      </c>
      <c r="AC1109" s="125">
        <v>20</v>
      </c>
      <c r="AD1109" s="125">
        <f>F1109*0</f>
        <v>0</v>
      </c>
      <c r="AE1109" s="125">
        <f>F1109*(1-0)</f>
        <v>0</v>
      </c>
    </row>
    <row r="1110" spans="1:31" s="90" customFormat="1" ht="11.25">
      <c r="A1110" s="122" t="s">
        <v>834</v>
      </c>
      <c r="B1110" s="122" t="s">
        <v>1898</v>
      </c>
      <c r="C1110" s="122" t="s">
        <v>3165</v>
      </c>
      <c r="D1110" s="122" t="s">
        <v>3457</v>
      </c>
      <c r="E1110" s="123">
        <v>11</v>
      </c>
      <c r="F1110" s="123">
        <v>0</v>
      </c>
      <c r="G1110" s="123">
        <f>ROUND(E1110*AD1110,2)</f>
        <v>0</v>
      </c>
      <c r="H1110" s="123">
        <f>I1110-G1110</f>
        <v>0</v>
      </c>
      <c r="I1110" s="123">
        <f>ROUND(E1110*F1110,2)</f>
        <v>0</v>
      </c>
      <c r="J1110" s="123">
        <v>0</v>
      </c>
      <c r="K1110" s="123">
        <f>E1110*J1110</f>
        <v>0</v>
      </c>
      <c r="M1110" s="124" t="s">
        <v>8</v>
      </c>
      <c r="N1110" s="123">
        <f>IF(M1110="5",H1110,0)</f>
        <v>0</v>
      </c>
      <c r="Y1110" s="123">
        <f>IF(AC1110=0,I1110,0)</f>
        <v>0</v>
      </c>
      <c r="Z1110" s="123">
        <f>IF(AC1110=14,I1110,0)</f>
        <v>0</v>
      </c>
      <c r="AA1110" s="123">
        <f>IF(AC1110=20,I1110,0)</f>
        <v>0</v>
      </c>
      <c r="AC1110" s="125">
        <v>20</v>
      </c>
      <c r="AD1110" s="125">
        <f>F1110*1</f>
        <v>0</v>
      </c>
      <c r="AE1110" s="125">
        <f>F1110*(1-1)</f>
        <v>0</v>
      </c>
    </row>
    <row r="1111" spans="1:31" s="90" customFormat="1" ht="11.25">
      <c r="A1111" s="122" t="s">
        <v>835</v>
      </c>
      <c r="B1111" s="122" t="s">
        <v>1899</v>
      </c>
      <c r="C1111" s="122" t="s">
        <v>2977</v>
      </c>
      <c r="D1111" s="122" t="s">
        <v>3457</v>
      </c>
      <c r="E1111" s="123">
        <v>1</v>
      </c>
      <c r="F1111" s="123">
        <v>0</v>
      </c>
      <c r="G1111" s="123">
        <f>ROUND(E1111*AD1111,2)</f>
        <v>0</v>
      </c>
      <c r="H1111" s="123">
        <f>I1111-G1111</f>
        <v>0</v>
      </c>
      <c r="I1111" s="123">
        <f>ROUND(E1111*F1111,2)</f>
        <v>0</v>
      </c>
      <c r="J1111" s="123">
        <v>0</v>
      </c>
      <c r="K1111" s="123">
        <f>E1111*J1111</f>
        <v>0</v>
      </c>
      <c r="M1111" s="124" t="s">
        <v>8</v>
      </c>
      <c r="N1111" s="123">
        <f>IF(M1111="5",H1111,0)</f>
        <v>0</v>
      </c>
      <c r="Y1111" s="123">
        <f>IF(AC1111=0,I1111,0)</f>
        <v>0</v>
      </c>
      <c r="Z1111" s="123">
        <f>IF(AC1111=14,I1111,0)</f>
        <v>0</v>
      </c>
      <c r="AA1111" s="123">
        <f>IF(AC1111=20,I1111,0)</f>
        <v>0</v>
      </c>
      <c r="AC1111" s="125">
        <v>20</v>
      </c>
      <c r="AD1111" s="125">
        <f>F1111*0</f>
        <v>0</v>
      </c>
      <c r="AE1111" s="125">
        <f>F1111*(1-0)</f>
        <v>0</v>
      </c>
    </row>
    <row r="1112" spans="1:31" s="90" customFormat="1" ht="11.25">
      <c r="A1112" s="122" t="s">
        <v>836</v>
      </c>
      <c r="B1112" s="122" t="s">
        <v>1900</v>
      </c>
      <c r="C1112" s="122" t="s">
        <v>3166</v>
      </c>
      <c r="D1112" s="122" t="s">
        <v>3455</v>
      </c>
      <c r="E1112" s="123">
        <v>40</v>
      </c>
      <c r="F1112" s="123">
        <v>0</v>
      </c>
      <c r="G1112" s="123">
        <f>ROUND(E1112*AD1112,2)</f>
        <v>0</v>
      </c>
      <c r="H1112" s="123">
        <f>I1112-G1112</f>
        <v>0</v>
      </c>
      <c r="I1112" s="123">
        <f>ROUND(E1112*F1112,2)</f>
        <v>0</v>
      </c>
      <c r="J1112" s="123">
        <v>0</v>
      </c>
      <c r="K1112" s="123">
        <f>E1112*J1112</f>
        <v>0</v>
      </c>
      <c r="M1112" s="124" t="s">
        <v>8</v>
      </c>
      <c r="N1112" s="123">
        <f>IF(M1112="5",H1112,0)</f>
        <v>0</v>
      </c>
      <c r="Y1112" s="123">
        <f>IF(AC1112=0,I1112,0)</f>
        <v>0</v>
      </c>
      <c r="Z1112" s="123">
        <f>IF(AC1112=14,I1112,0)</f>
        <v>0</v>
      </c>
      <c r="AA1112" s="123">
        <f>IF(AC1112=20,I1112,0)</f>
        <v>0</v>
      </c>
      <c r="AC1112" s="125">
        <v>20</v>
      </c>
      <c r="AD1112" s="125">
        <f>F1112*0.105488709411571</f>
        <v>0</v>
      </c>
      <c r="AE1112" s="125">
        <f>F1112*(1-0.105488709411571)</f>
        <v>0</v>
      </c>
    </row>
    <row r="1113" s="90" customFormat="1" ht="11.25">
      <c r="C1113" s="126" t="s">
        <v>3167</v>
      </c>
    </row>
    <row r="1114" spans="1:31" s="90" customFormat="1" ht="11.25">
      <c r="A1114" s="122" t="s">
        <v>837</v>
      </c>
      <c r="B1114" s="122" t="s">
        <v>1901</v>
      </c>
      <c r="C1114" s="122" t="s">
        <v>3168</v>
      </c>
      <c r="D1114" s="122" t="s">
        <v>3456</v>
      </c>
      <c r="E1114" s="123">
        <v>2</v>
      </c>
      <c r="F1114" s="123">
        <v>0</v>
      </c>
      <c r="G1114" s="123">
        <f>ROUND(E1114*AD1114,2)</f>
        <v>0</v>
      </c>
      <c r="H1114" s="123">
        <f>I1114-G1114</f>
        <v>0</v>
      </c>
      <c r="I1114" s="123">
        <f>ROUND(E1114*F1114,2)</f>
        <v>0</v>
      </c>
      <c r="J1114" s="123">
        <v>0</v>
      </c>
      <c r="K1114" s="123">
        <f>E1114*J1114</f>
        <v>0</v>
      </c>
      <c r="M1114" s="124" t="s">
        <v>8</v>
      </c>
      <c r="N1114" s="123">
        <f>IF(M1114="5",H1114,0)</f>
        <v>0</v>
      </c>
      <c r="Y1114" s="123">
        <f>IF(AC1114=0,I1114,0)</f>
        <v>0</v>
      </c>
      <c r="Z1114" s="123">
        <f>IF(AC1114=14,I1114,0)</f>
        <v>0</v>
      </c>
      <c r="AA1114" s="123">
        <f>IF(AC1114=20,I1114,0)</f>
        <v>0</v>
      </c>
      <c r="AC1114" s="125">
        <v>20</v>
      </c>
      <c r="AD1114" s="125">
        <f>F1114*0</f>
        <v>0</v>
      </c>
      <c r="AE1114" s="125">
        <f>F1114*(1-0)</f>
        <v>0</v>
      </c>
    </row>
    <row r="1115" s="90" customFormat="1" ht="11.25">
      <c r="C1115" s="126" t="s">
        <v>3169</v>
      </c>
    </row>
    <row r="1116" spans="1:31" s="90" customFormat="1" ht="11.25">
      <c r="A1116" s="122" t="s">
        <v>838</v>
      </c>
      <c r="B1116" s="122" t="s">
        <v>1902</v>
      </c>
      <c r="C1116" s="122" t="s">
        <v>3170</v>
      </c>
      <c r="D1116" s="122" t="s">
        <v>3456</v>
      </c>
      <c r="E1116" s="123">
        <v>84</v>
      </c>
      <c r="F1116" s="123">
        <v>0</v>
      </c>
      <c r="G1116" s="123">
        <f>ROUND(E1116*AD1116,2)</f>
        <v>0</v>
      </c>
      <c r="H1116" s="123">
        <f>I1116-G1116</f>
        <v>0</v>
      </c>
      <c r="I1116" s="123">
        <f>ROUND(E1116*F1116,2)</f>
        <v>0</v>
      </c>
      <c r="J1116" s="123">
        <v>0</v>
      </c>
      <c r="K1116" s="123">
        <f>E1116*J1116</f>
        <v>0</v>
      </c>
      <c r="M1116" s="124" t="s">
        <v>8</v>
      </c>
      <c r="N1116" s="123">
        <f>IF(M1116="5",H1116,0)</f>
        <v>0</v>
      </c>
      <c r="Y1116" s="123">
        <f>IF(AC1116=0,I1116,0)</f>
        <v>0</v>
      </c>
      <c r="Z1116" s="123">
        <f>IF(AC1116=14,I1116,0)</f>
        <v>0</v>
      </c>
      <c r="AA1116" s="123">
        <f>IF(AC1116=20,I1116,0)</f>
        <v>0</v>
      </c>
      <c r="AC1116" s="125">
        <v>20</v>
      </c>
      <c r="AD1116" s="125">
        <f>F1116*0.761904761904762</f>
        <v>0</v>
      </c>
      <c r="AE1116" s="125">
        <f>F1116*(1-0.761904761904762)</f>
        <v>0</v>
      </c>
    </row>
    <row r="1117" s="90" customFormat="1" ht="11.25">
      <c r="C1117" s="126" t="s">
        <v>3171</v>
      </c>
    </row>
    <row r="1118" spans="1:31" s="90" customFormat="1" ht="11.25">
      <c r="A1118" s="122" t="s">
        <v>839</v>
      </c>
      <c r="B1118" s="122" t="s">
        <v>1903</v>
      </c>
      <c r="C1118" s="122" t="s">
        <v>3172</v>
      </c>
      <c r="D1118" s="122" t="s">
        <v>3456</v>
      </c>
      <c r="E1118" s="123">
        <v>116</v>
      </c>
      <c r="F1118" s="123">
        <v>0</v>
      </c>
      <c r="G1118" s="123">
        <f aca="true" t="shared" si="324" ref="G1118:G1156">ROUND(E1118*AD1118,2)</f>
        <v>0</v>
      </c>
      <c r="H1118" s="123">
        <f aca="true" t="shared" si="325" ref="H1118:H1156">I1118-G1118</f>
        <v>0</v>
      </c>
      <c r="I1118" s="123">
        <f aca="true" t="shared" si="326" ref="I1118:I1156">ROUND(E1118*F1118,2)</f>
        <v>0</v>
      </c>
      <c r="J1118" s="123">
        <v>0</v>
      </c>
      <c r="K1118" s="123">
        <f aca="true" t="shared" si="327" ref="K1118:K1156">E1118*J1118</f>
        <v>0</v>
      </c>
      <c r="M1118" s="124" t="s">
        <v>8</v>
      </c>
      <c r="N1118" s="123">
        <f aca="true" t="shared" si="328" ref="N1118:N1156">IF(M1118="5",H1118,0)</f>
        <v>0</v>
      </c>
      <c r="Y1118" s="123">
        <f aca="true" t="shared" si="329" ref="Y1118:Y1156">IF(AC1118=0,I1118,0)</f>
        <v>0</v>
      </c>
      <c r="Z1118" s="123">
        <f aca="true" t="shared" si="330" ref="Z1118:Z1156">IF(AC1118=14,I1118,0)</f>
        <v>0</v>
      </c>
      <c r="AA1118" s="123">
        <f aca="true" t="shared" si="331" ref="AA1118:AA1156">IF(AC1118=20,I1118,0)</f>
        <v>0</v>
      </c>
      <c r="AC1118" s="125">
        <v>20</v>
      </c>
      <c r="AD1118" s="125">
        <f aca="true" t="shared" si="332" ref="AD1118:AD1141">F1118*0</f>
        <v>0</v>
      </c>
      <c r="AE1118" s="125">
        <f aca="true" t="shared" si="333" ref="AE1118:AE1141">F1118*(1-0)</f>
        <v>0</v>
      </c>
    </row>
    <row r="1119" spans="1:31" s="90" customFormat="1" ht="11.25">
      <c r="A1119" s="122" t="s">
        <v>840</v>
      </c>
      <c r="B1119" s="122" t="s">
        <v>1904</v>
      </c>
      <c r="C1119" s="122" t="s">
        <v>3173</v>
      </c>
      <c r="D1119" s="122" t="s">
        <v>3456</v>
      </c>
      <c r="E1119" s="123">
        <v>3</v>
      </c>
      <c r="F1119" s="123">
        <v>0</v>
      </c>
      <c r="G1119" s="123">
        <f t="shared" si="324"/>
        <v>0</v>
      </c>
      <c r="H1119" s="123">
        <f t="shared" si="325"/>
        <v>0</v>
      </c>
      <c r="I1119" s="123">
        <f t="shared" si="326"/>
        <v>0</v>
      </c>
      <c r="J1119" s="123">
        <v>0</v>
      </c>
      <c r="K1119" s="123">
        <f t="shared" si="327"/>
        <v>0</v>
      </c>
      <c r="M1119" s="124" t="s">
        <v>8</v>
      </c>
      <c r="N1119" s="123">
        <f t="shared" si="328"/>
        <v>0</v>
      </c>
      <c r="Y1119" s="123">
        <f t="shared" si="329"/>
        <v>0</v>
      </c>
      <c r="Z1119" s="123">
        <f t="shared" si="330"/>
        <v>0</v>
      </c>
      <c r="AA1119" s="123">
        <f t="shared" si="331"/>
        <v>0</v>
      </c>
      <c r="AC1119" s="125">
        <v>20</v>
      </c>
      <c r="AD1119" s="125">
        <f t="shared" si="332"/>
        <v>0</v>
      </c>
      <c r="AE1119" s="125">
        <f t="shared" si="333"/>
        <v>0</v>
      </c>
    </row>
    <row r="1120" spans="1:31" s="90" customFormat="1" ht="11.25">
      <c r="A1120" s="122" t="s">
        <v>841</v>
      </c>
      <c r="B1120" s="122" t="s">
        <v>1905</v>
      </c>
      <c r="C1120" s="122" t="s">
        <v>3174</v>
      </c>
      <c r="D1120" s="122" t="s">
        <v>3456</v>
      </c>
      <c r="E1120" s="123">
        <v>1</v>
      </c>
      <c r="F1120" s="123">
        <v>0</v>
      </c>
      <c r="G1120" s="123">
        <f t="shared" si="324"/>
        <v>0</v>
      </c>
      <c r="H1120" s="123">
        <f t="shared" si="325"/>
        <v>0</v>
      </c>
      <c r="I1120" s="123">
        <f t="shared" si="326"/>
        <v>0</v>
      </c>
      <c r="J1120" s="123">
        <v>0</v>
      </c>
      <c r="K1120" s="123">
        <f t="shared" si="327"/>
        <v>0</v>
      </c>
      <c r="M1120" s="124" t="s">
        <v>8</v>
      </c>
      <c r="N1120" s="123">
        <f t="shared" si="328"/>
        <v>0</v>
      </c>
      <c r="Y1120" s="123">
        <f t="shared" si="329"/>
        <v>0</v>
      </c>
      <c r="Z1120" s="123">
        <f t="shared" si="330"/>
        <v>0</v>
      </c>
      <c r="AA1120" s="123">
        <f t="shared" si="331"/>
        <v>0</v>
      </c>
      <c r="AC1120" s="125">
        <v>20</v>
      </c>
      <c r="AD1120" s="125">
        <f t="shared" si="332"/>
        <v>0</v>
      </c>
      <c r="AE1120" s="125">
        <f t="shared" si="333"/>
        <v>0</v>
      </c>
    </row>
    <row r="1121" spans="1:31" s="90" customFormat="1" ht="11.25">
      <c r="A1121" s="122" t="s">
        <v>842</v>
      </c>
      <c r="B1121" s="122" t="s">
        <v>1906</v>
      </c>
      <c r="C1121" s="122" t="s">
        <v>3175</v>
      </c>
      <c r="D1121" s="122" t="s">
        <v>3456</v>
      </c>
      <c r="E1121" s="123">
        <v>2</v>
      </c>
      <c r="F1121" s="123">
        <v>0</v>
      </c>
      <c r="G1121" s="123">
        <f t="shared" si="324"/>
        <v>0</v>
      </c>
      <c r="H1121" s="123">
        <f t="shared" si="325"/>
        <v>0</v>
      </c>
      <c r="I1121" s="123">
        <f t="shared" si="326"/>
        <v>0</v>
      </c>
      <c r="J1121" s="123">
        <v>0</v>
      </c>
      <c r="K1121" s="123">
        <f t="shared" si="327"/>
        <v>0</v>
      </c>
      <c r="M1121" s="124" t="s">
        <v>8</v>
      </c>
      <c r="N1121" s="123">
        <f t="shared" si="328"/>
        <v>0</v>
      </c>
      <c r="Y1121" s="123">
        <f t="shared" si="329"/>
        <v>0</v>
      </c>
      <c r="Z1121" s="123">
        <f t="shared" si="330"/>
        <v>0</v>
      </c>
      <c r="AA1121" s="123">
        <f t="shared" si="331"/>
        <v>0</v>
      </c>
      <c r="AC1121" s="125">
        <v>20</v>
      </c>
      <c r="AD1121" s="125">
        <f t="shared" si="332"/>
        <v>0</v>
      </c>
      <c r="AE1121" s="125">
        <f t="shared" si="333"/>
        <v>0</v>
      </c>
    </row>
    <row r="1122" spans="1:31" s="90" customFormat="1" ht="11.25">
      <c r="A1122" s="122" t="s">
        <v>843</v>
      </c>
      <c r="B1122" s="122" t="s">
        <v>1907</v>
      </c>
      <c r="C1122" s="122" t="s">
        <v>3176</v>
      </c>
      <c r="D1122" s="122" t="s">
        <v>3469</v>
      </c>
      <c r="E1122" s="123">
        <v>1</v>
      </c>
      <c r="F1122" s="123">
        <v>0</v>
      </c>
      <c r="G1122" s="123">
        <f t="shared" si="324"/>
        <v>0</v>
      </c>
      <c r="H1122" s="123">
        <f t="shared" si="325"/>
        <v>0</v>
      </c>
      <c r="I1122" s="123">
        <f t="shared" si="326"/>
        <v>0</v>
      </c>
      <c r="J1122" s="123">
        <v>0</v>
      </c>
      <c r="K1122" s="123">
        <f t="shared" si="327"/>
        <v>0</v>
      </c>
      <c r="M1122" s="124" t="s">
        <v>8</v>
      </c>
      <c r="N1122" s="123">
        <f t="shared" si="328"/>
        <v>0</v>
      </c>
      <c r="Y1122" s="123">
        <f t="shared" si="329"/>
        <v>0</v>
      </c>
      <c r="Z1122" s="123">
        <f t="shared" si="330"/>
        <v>0</v>
      </c>
      <c r="AA1122" s="123">
        <f t="shared" si="331"/>
        <v>0</v>
      </c>
      <c r="AC1122" s="125">
        <v>20</v>
      </c>
      <c r="AD1122" s="125">
        <f t="shared" si="332"/>
        <v>0</v>
      </c>
      <c r="AE1122" s="125">
        <f t="shared" si="333"/>
        <v>0</v>
      </c>
    </row>
    <row r="1123" spans="1:31" s="90" customFormat="1" ht="11.25">
      <c r="A1123" s="122" t="s">
        <v>844</v>
      </c>
      <c r="B1123" s="122" t="s">
        <v>1908</v>
      </c>
      <c r="C1123" s="122" t="s">
        <v>3177</v>
      </c>
      <c r="D1123" s="122" t="s">
        <v>3469</v>
      </c>
      <c r="E1123" s="123">
        <v>1</v>
      </c>
      <c r="F1123" s="123">
        <v>0</v>
      </c>
      <c r="G1123" s="123">
        <f t="shared" si="324"/>
        <v>0</v>
      </c>
      <c r="H1123" s="123">
        <f t="shared" si="325"/>
        <v>0</v>
      </c>
      <c r="I1123" s="123">
        <f t="shared" si="326"/>
        <v>0</v>
      </c>
      <c r="J1123" s="123">
        <v>0</v>
      </c>
      <c r="K1123" s="123">
        <f t="shared" si="327"/>
        <v>0</v>
      </c>
      <c r="M1123" s="124" t="s">
        <v>8</v>
      </c>
      <c r="N1123" s="123">
        <f t="shared" si="328"/>
        <v>0</v>
      </c>
      <c r="Y1123" s="123">
        <f t="shared" si="329"/>
        <v>0</v>
      </c>
      <c r="Z1123" s="123">
        <f t="shared" si="330"/>
        <v>0</v>
      </c>
      <c r="AA1123" s="123">
        <f t="shared" si="331"/>
        <v>0</v>
      </c>
      <c r="AC1123" s="125">
        <v>20</v>
      </c>
      <c r="AD1123" s="125">
        <f t="shared" si="332"/>
        <v>0</v>
      </c>
      <c r="AE1123" s="125">
        <f t="shared" si="333"/>
        <v>0</v>
      </c>
    </row>
    <row r="1124" spans="1:31" s="90" customFormat="1" ht="11.25">
      <c r="A1124" s="122" t="s">
        <v>845</v>
      </c>
      <c r="B1124" s="122" t="s">
        <v>1909</v>
      </c>
      <c r="C1124" s="122" t="s">
        <v>3178</v>
      </c>
      <c r="D1124" s="122" t="s">
        <v>3456</v>
      </c>
      <c r="E1124" s="123">
        <v>2</v>
      </c>
      <c r="F1124" s="123">
        <v>0</v>
      </c>
      <c r="G1124" s="123">
        <f t="shared" si="324"/>
        <v>0</v>
      </c>
      <c r="H1124" s="123">
        <f t="shared" si="325"/>
        <v>0</v>
      </c>
      <c r="I1124" s="123">
        <f t="shared" si="326"/>
        <v>0</v>
      </c>
      <c r="J1124" s="123">
        <v>0</v>
      </c>
      <c r="K1124" s="123">
        <f t="shared" si="327"/>
        <v>0</v>
      </c>
      <c r="M1124" s="124" t="s">
        <v>8</v>
      </c>
      <c r="N1124" s="123">
        <f t="shared" si="328"/>
        <v>0</v>
      </c>
      <c r="Y1124" s="123">
        <f t="shared" si="329"/>
        <v>0</v>
      </c>
      <c r="Z1124" s="123">
        <f t="shared" si="330"/>
        <v>0</v>
      </c>
      <c r="AA1124" s="123">
        <f t="shared" si="331"/>
        <v>0</v>
      </c>
      <c r="AC1124" s="125">
        <v>20</v>
      </c>
      <c r="AD1124" s="125">
        <f t="shared" si="332"/>
        <v>0</v>
      </c>
      <c r="AE1124" s="125">
        <f t="shared" si="333"/>
        <v>0</v>
      </c>
    </row>
    <row r="1125" spans="1:31" s="90" customFormat="1" ht="11.25">
      <c r="A1125" s="122" t="s">
        <v>846</v>
      </c>
      <c r="B1125" s="122" t="s">
        <v>1910</v>
      </c>
      <c r="C1125" s="122" t="s">
        <v>3179</v>
      </c>
      <c r="D1125" s="122" t="s">
        <v>3455</v>
      </c>
      <c r="E1125" s="123">
        <v>20</v>
      </c>
      <c r="F1125" s="123">
        <v>0</v>
      </c>
      <c r="G1125" s="123">
        <f t="shared" si="324"/>
        <v>0</v>
      </c>
      <c r="H1125" s="123">
        <f t="shared" si="325"/>
        <v>0</v>
      </c>
      <c r="I1125" s="123">
        <f t="shared" si="326"/>
        <v>0</v>
      </c>
      <c r="J1125" s="123">
        <v>0</v>
      </c>
      <c r="K1125" s="123">
        <f t="shared" si="327"/>
        <v>0</v>
      </c>
      <c r="M1125" s="124" t="s">
        <v>8</v>
      </c>
      <c r="N1125" s="123">
        <f t="shared" si="328"/>
        <v>0</v>
      </c>
      <c r="Y1125" s="123">
        <f t="shared" si="329"/>
        <v>0</v>
      </c>
      <c r="Z1125" s="123">
        <f t="shared" si="330"/>
        <v>0</v>
      </c>
      <c r="AA1125" s="123">
        <f t="shared" si="331"/>
        <v>0</v>
      </c>
      <c r="AC1125" s="125">
        <v>20</v>
      </c>
      <c r="AD1125" s="125">
        <f t="shared" si="332"/>
        <v>0</v>
      </c>
      <c r="AE1125" s="125">
        <f t="shared" si="333"/>
        <v>0</v>
      </c>
    </row>
    <row r="1126" spans="1:31" s="90" customFormat="1" ht="11.25">
      <c r="A1126" s="122" t="s">
        <v>847</v>
      </c>
      <c r="B1126" s="122" t="s">
        <v>1911</v>
      </c>
      <c r="C1126" s="122" t="s">
        <v>3180</v>
      </c>
      <c r="D1126" s="122" t="s">
        <v>3457</v>
      </c>
      <c r="E1126" s="123">
        <v>5</v>
      </c>
      <c r="F1126" s="123">
        <v>0</v>
      </c>
      <c r="G1126" s="123">
        <f t="shared" si="324"/>
        <v>0</v>
      </c>
      <c r="H1126" s="123">
        <f t="shared" si="325"/>
        <v>0</v>
      </c>
      <c r="I1126" s="123">
        <f t="shared" si="326"/>
        <v>0</v>
      </c>
      <c r="J1126" s="123">
        <v>0</v>
      </c>
      <c r="K1126" s="123">
        <f t="shared" si="327"/>
        <v>0</v>
      </c>
      <c r="M1126" s="124" t="s">
        <v>8</v>
      </c>
      <c r="N1126" s="123">
        <f t="shared" si="328"/>
        <v>0</v>
      </c>
      <c r="Y1126" s="123">
        <f t="shared" si="329"/>
        <v>0</v>
      </c>
      <c r="Z1126" s="123">
        <f t="shared" si="330"/>
        <v>0</v>
      </c>
      <c r="AA1126" s="123">
        <f t="shared" si="331"/>
        <v>0</v>
      </c>
      <c r="AC1126" s="125">
        <v>20</v>
      </c>
      <c r="AD1126" s="125">
        <f t="shared" si="332"/>
        <v>0</v>
      </c>
      <c r="AE1126" s="125">
        <f t="shared" si="333"/>
        <v>0</v>
      </c>
    </row>
    <row r="1127" spans="1:31" s="90" customFormat="1" ht="11.25">
      <c r="A1127" s="122" t="s">
        <v>848</v>
      </c>
      <c r="B1127" s="122" t="s">
        <v>1912</v>
      </c>
      <c r="C1127" s="122" t="s">
        <v>3181</v>
      </c>
      <c r="D1127" s="122" t="s">
        <v>3457</v>
      </c>
      <c r="E1127" s="123">
        <v>5</v>
      </c>
      <c r="F1127" s="123">
        <v>0</v>
      </c>
      <c r="G1127" s="123">
        <f t="shared" si="324"/>
        <v>0</v>
      </c>
      <c r="H1127" s="123">
        <f t="shared" si="325"/>
        <v>0</v>
      </c>
      <c r="I1127" s="123">
        <f t="shared" si="326"/>
        <v>0</v>
      </c>
      <c r="J1127" s="123">
        <v>0</v>
      </c>
      <c r="K1127" s="123">
        <f t="shared" si="327"/>
        <v>0</v>
      </c>
      <c r="M1127" s="124" t="s">
        <v>8</v>
      </c>
      <c r="N1127" s="123">
        <f t="shared" si="328"/>
        <v>0</v>
      </c>
      <c r="Y1127" s="123">
        <f t="shared" si="329"/>
        <v>0</v>
      </c>
      <c r="Z1127" s="123">
        <f t="shared" si="330"/>
        <v>0</v>
      </c>
      <c r="AA1127" s="123">
        <f t="shared" si="331"/>
        <v>0</v>
      </c>
      <c r="AC1127" s="125">
        <v>20</v>
      </c>
      <c r="AD1127" s="125">
        <f t="shared" si="332"/>
        <v>0</v>
      </c>
      <c r="AE1127" s="125">
        <f t="shared" si="333"/>
        <v>0</v>
      </c>
    </row>
    <row r="1128" spans="1:31" s="90" customFormat="1" ht="11.25">
      <c r="A1128" s="122" t="s">
        <v>849</v>
      </c>
      <c r="B1128" s="122" t="s">
        <v>1913</v>
      </c>
      <c r="C1128" s="122" t="s">
        <v>3182</v>
      </c>
      <c r="D1128" s="122" t="s">
        <v>3455</v>
      </c>
      <c r="E1128" s="123">
        <v>5860</v>
      </c>
      <c r="F1128" s="123">
        <v>0</v>
      </c>
      <c r="G1128" s="123">
        <f t="shared" si="324"/>
        <v>0</v>
      </c>
      <c r="H1128" s="123">
        <f t="shared" si="325"/>
        <v>0</v>
      </c>
      <c r="I1128" s="123">
        <f t="shared" si="326"/>
        <v>0</v>
      </c>
      <c r="J1128" s="123">
        <v>0</v>
      </c>
      <c r="K1128" s="123">
        <f t="shared" si="327"/>
        <v>0</v>
      </c>
      <c r="M1128" s="124" t="s">
        <v>8</v>
      </c>
      <c r="N1128" s="123">
        <f t="shared" si="328"/>
        <v>0</v>
      </c>
      <c r="Y1128" s="123">
        <f t="shared" si="329"/>
        <v>0</v>
      </c>
      <c r="Z1128" s="123">
        <f t="shared" si="330"/>
        <v>0</v>
      </c>
      <c r="AA1128" s="123">
        <f t="shared" si="331"/>
        <v>0</v>
      </c>
      <c r="AC1128" s="125">
        <v>20</v>
      </c>
      <c r="AD1128" s="125">
        <f t="shared" si="332"/>
        <v>0</v>
      </c>
      <c r="AE1128" s="125">
        <f t="shared" si="333"/>
        <v>0</v>
      </c>
    </row>
    <row r="1129" spans="1:31" s="90" customFormat="1" ht="11.25">
      <c r="A1129" s="122" t="s">
        <v>850</v>
      </c>
      <c r="B1129" s="122" t="s">
        <v>1914</v>
      </c>
      <c r="C1129" s="122" t="s">
        <v>3183</v>
      </c>
      <c r="D1129" s="122" t="s">
        <v>3456</v>
      </c>
      <c r="E1129" s="123">
        <v>2</v>
      </c>
      <c r="F1129" s="123">
        <v>0</v>
      </c>
      <c r="G1129" s="123">
        <f t="shared" si="324"/>
        <v>0</v>
      </c>
      <c r="H1129" s="123">
        <f t="shared" si="325"/>
        <v>0</v>
      </c>
      <c r="I1129" s="123">
        <f t="shared" si="326"/>
        <v>0</v>
      </c>
      <c r="J1129" s="123">
        <v>0</v>
      </c>
      <c r="K1129" s="123">
        <f t="shared" si="327"/>
        <v>0</v>
      </c>
      <c r="M1129" s="124" t="s">
        <v>8</v>
      </c>
      <c r="N1129" s="123">
        <f t="shared" si="328"/>
        <v>0</v>
      </c>
      <c r="Y1129" s="123">
        <f t="shared" si="329"/>
        <v>0</v>
      </c>
      <c r="Z1129" s="123">
        <f t="shared" si="330"/>
        <v>0</v>
      </c>
      <c r="AA1129" s="123">
        <f t="shared" si="331"/>
        <v>0</v>
      </c>
      <c r="AC1129" s="125">
        <v>20</v>
      </c>
      <c r="AD1129" s="125">
        <f t="shared" si="332"/>
        <v>0</v>
      </c>
      <c r="AE1129" s="125">
        <f t="shared" si="333"/>
        <v>0</v>
      </c>
    </row>
    <row r="1130" spans="1:31" s="90" customFormat="1" ht="11.25">
      <c r="A1130" s="122" t="s">
        <v>851</v>
      </c>
      <c r="B1130" s="122" t="s">
        <v>1915</v>
      </c>
      <c r="C1130" s="122" t="s">
        <v>3184</v>
      </c>
      <c r="D1130" s="122" t="s">
        <v>3456</v>
      </c>
      <c r="E1130" s="123">
        <v>2</v>
      </c>
      <c r="F1130" s="123">
        <v>0</v>
      </c>
      <c r="G1130" s="123">
        <f t="shared" si="324"/>
        <v>0</v>
      </c>
      <c r="H1130" s="123">
        <f t="shared" si="325"/>
        <v>0</v>
      </c>
      <c r="I1130" s="123">
        <f t="shared" si="326"/>
        <v>0</v>
      </c>
      <c r="J1130" s="123">
        <v>0</v>
      </c>
      <c r="K1130" s="123">
        <f t="shared" si="327"/>
        <v>0</v>
      </c>
      <c r="M1130" s="124" t="s">
        <v>8</v>
      </c>
      <c r="N1130" s="123">
        <f t="shared" si="328"/>
        <v>0</v>
      </c>
      <c r="Y1130" s="123">
        <f t="shared" si="329"/>
        <v>0</v>
      </c>
      <c r="Z1130" s="123">
        <f t="shared" si="330"/>
        <v>0</v>
      </c>
      <c r="AA1130" s="123">
        <f t="shared" si="331"/>
        <v>0</v>
      </c>
      <c r="AC1130" s="125">
        <v>20</v>
      </c>
      <c r="AD1130" s="125">
        <f t="shared" si="332"/>
        <v>0</v>
      </c>
      <c r="AE1130" s="125">
        <f t="shared" si="333"/>
        <v>0</v>
      </c>
    </row>
    <row r="1131" spans="1:31" s="90" customFormat="1" ht="11.25">
      <c r="A1131" s="122" t="s">
        <v>852</v>
      </c>
      <c r="B1131" s="122" t="s">
        <v>1916</v>
      </c>
      <c r="C1131" s="122" t="s">
        <v>3185</v>
      </c>
      <c r="D1131" s="122" t="s">
        <v>3456</v>
      </c>
      <c r="E1131" s="123">
        <v>1</v>
      </c>
      <c r="F1131" s="123">
        <v>0</v>
      </c>
      <c r="G1131" s="123">
        <f t="shared" si="324"/>
        <v>0</v>
      </c>
      <c r="H1131" s="123">
        <f t="shared" si="325"/>
        <v>0</v>
      </c>
      <c r="I1131" s="123">
        <f t="shared" si="326"/>
        <v>0</v>
      </c>
      <c r="J1131" s="123">
        <v>0</v>
      </c>
      <c r="K1131" s="123">
        <f t="shared" si="327"/>
        <v>0</v>
      </c>
      <c r="M1131" s="124" t="s">
        <v>8</v>
      </c>
      <c r="N1131" s="123">
        <f t="shared" si="328"/>
        <v>0</v>
      </c>
      <c r="Y1131" s="123">
        <f t="shared" si="329"/>
        <v>0</v>
      </c>
      <c r="Z1131" s="123">
        <f t="shared" si="330"/>
        <v>0</v>
      </c>
      <c r="AA1131" s="123">
        <f t="shared" si="331"/>
        <v>0</v>
      </c>
      <c r="AC1131" s="125">
        <v>20</v>
      </c>
      <c r="AD1131" s="125">
        <f t="shared" si="332"/>
        <v>0</v>
      </c>
      <c r="AE1131" s="125">
        <f t="shared" si="333"/>
        <v>0</v>
      </c>
    </row>
    <row r="1132" spans="1:31" s="90" customFormat="1" ht="11.25">
      <c r="A1132" s="122" t="s">
        <v>853</v>
      </c>
      <c r="B1132" s="122" t="s">
        <v>1917</v>
      </c>
      <c r="C1132" s="122" t="s">
        <v>3186</v>
      </c>
      <c r="D1132" s="122" t="s">
        <v>3456</v>
      </c>
      <c r="E1132" s="123">
        <v>2</v>
      </c>
      <c r="F1132" s="123">
        <v>0</v>
      </c>
      <c r="G1132" s="123">
        <f t="shared" si="324"/>
        <v>0</v>
      </c>
      <c r="H1132" s="123">
        <f t="shared" si="325"/>
        <v>0</v>
      </c>
      <c r="I1132" s="123">
        <f t="shared" si="326"/>
        <v>0</v>
      </c>
      <c r="J1132" s="123">
        <v>0</v>
      </c>
      <c r="K1132" s="123">
        <f t="shared" si="327"/>
        <v>0</v>
      </c>
      <c r="M1132" s="124" t="s">
        <v>8</v>
      </c>
      <c r="N1132" s="123">
        <f t="shared" si="328"/>
        <v>0</v>
      </c>
      <c r="Y1132" s="123">
        <f t="shared" si="329"/>
        <v>0</v>
      </c>
      <c r="Z1132" s="123">
        <f t="shared" si="330"/>
        <v>0</v>
      </c>
      <c r="AA1132" s="123">
        <f t="shared" si="331"/>
        <v>0</v>
      </c>
      <c r="AC1132" s="125">
        <v>20</v>
      </c>
      <c r="AD1132" s="125">
        <f t="shared" si="332"/>
        <v>0</v>
      </c>
      <c r="AE1132" s="125">
        <f t="shared" si="333"/>
        <v>0</v>
      </c>
    </row>
    <row r="1133" spans="1:31" s="90" customFormat="1" ht="11.25">
      <c r="A1133" s="122" t="s">
        <v>854</v>
      </c>
      <c r="B1133" s="122" t="s">
        <v>1918</v>
      </c>
      <c r="C1133" s="122" t="s">
        <v>3187</v>
      </c>
      <c r="D1133" s="122" t="s">
        <v>3456</v>
      </c>
      <c r="E1133" s="123">
        <v>11</v>
      </c>
      <c r="F1133" s="123">
        <v>0</v>
      </c>
      <c r="G1133" s="123">
        <f t="shared" si="324"/>
        <v>0</v>
      </c>
      <c r="H1133" s="123">
        <f t="shared" si="325"/>
        <v>0</v>
      </c>
      <c r="I1133" s="123">
        <f t="shared" si="326"/>
        <v>0</v>
      </c>
      <c r="J1133" s="123">
        <v>0</v>
      </c>
      <c r="K1133" s="123">
        <f t="shared" si="327"/>
        <v>0</v>
      </c>
      <c r="M1133" s="124" t="s">
        <v>8</v>
      </c>
      <c r="N1133" s="123">
        <f t="shared" si="328"/>
        <v>0</v>
      </c>
      <c r="Y1133" s="123">
        <f t="shared" si="329"/>
        <v>0</v>
      </c>
      <c r="Z1133" s="123">
        <f t="shared" si="330"/>
        <v>0</v>
      </c>
      <c r="AA1133" s="123">
        <f t="shared" si="331"/>
        <v>0</v>
      </c>
      <c r="AC1133" s="125">
        <v>20</v>
      </c>
      <c r="AD1133" s="125">
        <f t="shared" si="332"/>
        <v>0</v>
      </c>
      <c r="AE1133" s="125">
        <f t="shared" si="333"/>
        <v>0</v>
      </c>
    </row>
    <row r="1134" spans="1:31" s="90" customFormat="1" ht="11.25">
      <c r="A1134" s="122" t="s">
        <v>855</v>
      </c>
      <c r="B1134" s="122" t="s">
        <v>1919</v>
      </c>
      <c r="C1134" s="122" t="s">
        <v>3188</v>
      </c>
      <c r="D1134" s="122" t="s">
        <v>3456</v>
      </c>
      <c r="E1134" s="123">
        <v>2</v>
      </c>
      <c r="F1134" s="123">
        <v>0</v>
      </c>
      <c r="G1134" s="123">
        <f t="shared" si="324"/>
        <v>0</v>
      </c>
      <c r="H1134" s="123">
        <f t="shared" si="325"/>
        <v>0</v>
      </c>
      <c r="I1134" s="123">
        <f t="shared" si="326"/>
        <v>0</v>
      </c>
      <c r="J1134" s="123">
        <v>0</v>
      </c>
      <c r="K1134" s="123">
        <f t="shared" si="327"/>
        <v>0</v>
      </c>
      <c r="M1134" s="124" t="s">
        <v>8</v>
      </c>
      <c r="N1134" s="123">
        <f t="shared" si="328"/>
        <v>0</v>
      </c>
      <c r="Y1134" s="123">
        <f t="shared" si="329"/>
        <v>0</v>
      </c>
      <c r="Z1134" s="123">
        <f t="shared" si="330"/>
        <v>0</v>
      </c>
      <c r="AA1134" s="123">
        <f t="shared" si="331"/>
        <v>0</v>
      </c>
      <c r="AC1134" s="125">
        <v>20</v>
      </c>
      <c r="AD1134" s="125">
        <f t="shared" si="332"/>
        <v>0</v>
      </c>
      <c r="AE1134" s="125">
        <f t="shared" si="333"/>
        <v>0</v>
      </c>
    </row>
    <row r="1135" spans="1:31" s="90" customFormat="1" ht="11.25">
      <c r="A1135" s="122" t="s">
        <v>856</v>
      </c>
      <c r="B1135" s="122" t="s">
        <v>1920</v>
      </c>
      <c r="C1135" s="122" t="s">
        <v>3189</v>
      </c>
      <c r="D1135" s="122" t="s">
        <v>3469</v>
      </c>
      <c r="E1135" s="123">
        <v>1</v>
      </c>
      <c r="F1135" s="123">
        <v>0</v>
      </c>
      <c r="G1135" s="123">
        <f t="shared" si="324"/>
        <v>0</v>
      </c>
      <c r="H1135" s="123">
        <f t="shared" si="325"/>
        <v>0</v>
      </c>
      <c r="I1135" s="123">
        <f t="shared" si="326"/>
        <v>0</v>
      </c>
      <c r="J1135" s="123">
        <v>0</v>
      </c>
      <c r="K1135" s="123">
        <f t="shared" si="327"/>
        <v>0</v>
      </c>
      <c r="M1135" s="124" t="s">
        <v>8</v>
      </c>
      <c r="N1135" s="123">
        <f t="shared" si="328"/>
        <v>0</v>
      </c>
      <c r="Y1135" s="123">
        <f t="shared" si="329"/>
        <v>0</v>
      </c>
      <c r="Z1135" s="123">
        <f t="shared" si="330"/>
        <v>0</v>
      </c>
      <c r="AA1135" s="123">
        <f t="shared" si="331"/>
        <v>0</v>
      </c>
      <c r="AC1135" s="125">
        <v>20</v>
      </c>
      <c r="AD1135" s="125">
        <f t="shared" si="332"/>
        <v>0</v>
      </c>
      <c r="AE1135" s="125">
        <f t="shared" si="333"/>
        <v>0</v>
      </c>
    </row>
    <row r="1136" spans="1:31" s="90" customFormat="1" ht="11.25">
      <c r="A1136" s="122" t="s">
        <v>857</v>
      </c>
      <c r="B1136" s="122" t="s">
        <v>1921</v>
      </c>
      <c r="C1136" s="122" t="s">
        <v>3190</v>
      </c>
      <c r="D1136" s="122" t="s">
        <v>3469</v>
      </c>
      <c r="E1136" s="123">
        <v>2</v>
      </c>
      <c r="F1136" s="123">
        <v>0</v>
      </c>
      <c r="G1136" s="123">
        <f t="shared" si="324"/>
        <v>0</v>
      </c>
      <c r="H1136" s="123">
        <f t="shared" si="325"/>
        <v>0</v>
      </c>
      <c r="I1136" s="123">
        <f t="shared" si="326"/>
        <v>0</v>
      </c>
      <c r="J1136" s="123">
        <v>0</v>
      </c>
      <c r="K1136" s="123">
        <f t="shared" si="327"/>
        <v>0</v>
      </c>
      <c r="M1136" s="124" t="s">
        <v>8</v>
      </c>
      <c r="N1136" s="123">
        <f t="shared" si="328"/>
        <v>0</v>
      </c>
      <c r="Y1136" s="123">
        <f t="shared" si="329"/>
        <v>0</v>
      </c>
      <c r="Z1136" s="123">
        <f t="shared" si="330"/>
        <v>0</v>
      </c>
      <c r="AA1136" s="123">
        <f t="shared" si="331"/>
        <v>0</v>
      </c>
      <c r="AC1136" s="125">
        <v>20</v>
      </c>
      <c r="AD1136" s="125">
        <f t="shared" si="332"/>
        <v>0</v>
      </c>
      <c r="AE1136" s="125">
        <f t="shared" si="333"/>
        <v>0</v>
      </c>
    </row>
    <row r="1137" spans="1:31" s="90" customFormat="1" ht="11.25">
      <c r="A1137" s="122" t="s">
        <v>858</v>
      </c>
      <c r="B1137" s="122" t="s">
        <v>1922</v>
      </c>
      <c r="C1137" s="122" t="s">
        <v>3191</v>
      </c>
      <c r="D1137" s="122" t="s">
        <v>3455</v>
      </c>
      <c r="E1137" s="123">
        <v>1260</v>
      </c>
      <c r="F1137" s="123">
        <v>0</v>
      </c>
      <c r="G1137" s="123">
        <f t="shared" si="324"/>
        <v>0</v>
      </c>
      <c r="H1137" s="123">
        <f t="shared" si="325"/>
        <v>0</v>
      </c>
      <c r="I1137" s="123">
        <f t="shared" si="326"/>
        <v>0</v>
      </c>
      <c r="J1137" s="123">
        <v>0</v>
      </c>
      <c r="K1137" s="123">
        <f t="shared" si="327"/>
        <v>0</v>
      </c>
      <c r="M1137" s="124" t="s">
        <v>8</v>
      </c>
      <c r="N1137" s="123">
        <f t="shared" si="328"/>
        <v>0</v>
      </c>
      <c r="Y1137" s="123">
        <f t="shared" si="329"/>
        <v>0</v>
      </c>
      <c r="Z1137" s="123">
        <f t="shared" si="330"/>
        <v>0</v>
      </c>
      <c r="AA1137" s="123">
        <f t="shared" si="331"/>
        <v>0</v>
      </c>
      <c r="AC1137" s="125">
        <v>20</v>
      </c>
      <c r="AD1137" s="125">
        <f t="shared" si="332"/>
        <v>0</v>
      </c>
      <c r="AE1137" s="125">
        <f t="shared" si="333"/>
        <v>0</v>
      </c>
    </row>
    <row r="1138" spans="1:31" s="90" customFormat="1" ht="11.25">
      <c r="A1138" s="122" t="s">
        <v>859</v>
      </c>
      <c r="B1138" s="122" t="s">
        <v>1923</v>
      </c>
      <c r="C1138" s="122" t="s">
        <v>3192</v>
      </c>
      <c r="D1138" s="122" t="s">
        <v>3456</v>
      </c>
      <c r="E1138" s="123">
        <v>440</v>
      </c>
      <c r="F1138" s="123">
        <v>0</v>
      </c>
      <c r="G1138" s="123">
        <f t="shared" si="324"/>
        <v>0</v>
      </c>
      <c r="H1138" s="123">
        <f t="shared" si="325"/>
        <v>0</v>
      </c>
      <c r="I1138" s="123">
        <f t="shared" si="326"/>
        <v>0</v>
      </c>
      <c r="J1138" s="123">
        <v>0</v>
      </c>
      <c r="K1138" s="123">
        <f t="shared" si="327"/>
        <v>0</v>
      </c>
      <c r="M1138" s="124" t="s">
        <v>8</v>
      </c>
      <c r="N1138" s="123">
        <f t="shared" si="328"/>
        <v>0</v>
      </c>
      <c r="Y1138" s="123">
        <f t="shared" si="329"/>
        <v>0</v>
      </c>
      <c r="Z1138" s="123">
        <f t="shared" si="330"/>
        <v>0</v>
      </c>
      <c r="AA1138" s="123">
        <f t="shared" si="331"/>
        <v>0</v>
      </c>
      <c r="AC1138" s="125">
        <v>20</v>
      </c>
      <c r="AD1138" s="125">
        <f t="shared" si="332"/>
        <v>0</v>
      </c>
      <c r="AE1138" s="125">
        <f t="shared" si="333"/>
        <v>0</v>
      </c>
    </row>
    <row r="1139" spans="1:31" s="90" customFormat="1" ht="11.25">
      <c r="A1139" s="122" t="s">
        <v>860</v>
      </c>
      <c r="B1139" s="122" t="s">
        <v>1924</v>
      </c>
      <c r="C1139" s="122" t="s">
        <v>3193</v>
      </c>
      <c r="D1139" s="122" t="s">
        <v>3456</v>
      </c>
      <c r="E1139" s="123">
        <v>130</v>
      </c>
      <c r="F1139" s="123">
        <v>0</v>
      </c>
      <c r="G1139" s="123">
        <f t="shared" si="324"/>
        <v>0</v>
      </c>
      <c r="H1139" s="123">
        <f t="shared" si="325"/>
        <v>0</v>
      </c>
      <c r="I1139" s="123">
        <f t="shared" si="326"/>
        <v>0</v>
      </c>
      <c r="J1139" s="123">
        <v>0</v>
      </c>
      <c r="K1139" s="123">
        <f t="shared" si="327"/>
        <v>0</v>
      </c>
      <c r="M1139" s="124" t="s">
        <v>8</v>
      </c>
      <c r="N1139" s="123">
        <f t="shared" si="328"/>
        <v>0</v>
      </c>
      <c r="Y1139" s="123">
        <f t="shared" si="329"/>
        <v>0</v>
      </c>
      <c r="Z1139" s="123">
        <f t="shared" si="330"/>
        <v>0</v>
      </c>
      <c r="AA1139" s="123">
        <f t="shared" si="331"/>
        <v>0</v>
      </c>
      <c r="AC1139" s="125">
        <v>20</v>
      </c>
      <c r="AD1139" s="125">
        <f t="shared" si="332"/>
        <v>0</v>
      </c>
      <c r="AE1139" s="125">
        <f t="shared" si="333"/>
        <v>0</v>
      </c>
    </row>
    <row r="1140" spans="1:31" s="90" customFormat="1" ht="11.25">
      <c r="A1140" s="122" t="s">
        <v>861</v>
      </c>
      <c r="B1140" s="122" t="s">
        <v>1925</v>
      </c>
      <c r="C1140" s="122" t="s">
        <v>3194</v>
      </c>
      <c r="D1140" s="122" t="s">
        <v>3469</v>
      </c>
      <c r="E1140" s="123">
        <v>1</v>
      </c>
      <c r="F1140" s="123">
        <v>0</v>
      </c>
      <c r="G1140" s="123">
        <f t="shared" si="324"/>
        <v>0</v>
      </c>
      <c r="H1140" s="123">
        <f t="shared" si="325"/>
        <v>0</v>
      </c>
      <c r="I1140" s="123">
        <f t="shared" si="326"/>
        <v>0</v>
      </c>
      <c r="J1140" s="123">
        <v>0</v>
      </c>
      <c r="K1140" s="123">
        <f t="shared" si="327"/>
        <v>0</v>
      </c>
      <c r="M1140" s="124" t="s">
        <v>8</v>
      </c>
      <c r="N1140" s="123">
        <f t="shared" si="328"/>
        <v>0</v>
      </c>
      <c r="Y1140" s="123">
        <f t="shared" si="329"/>
        <v>0</v>
      </c>
      <c r="Z1140" s="123">
        <f t="shared" si="330"/>
        <v>0</v>
      </c>
      <c r="AA1140" s="123">
        <f t="shared" si="331"/>
        <v>0</v>
      </c>
      <c r="AC1140" s="125">
        <v>20</v>
      </c>
      <c r="AD1140" s="125">
        <f t="shared" si="332"/>
        <v>0</v>
      </c>
      <c r="AE1140" s="125">
        <f t="shared" si="333"/>
        <v>0</v>
      </c>
    </row>
    <row r="1141" spans="1:31" s="90" customFormat="1" ht="11.25">
      <c r="A1141" s="122" t="s">
        <v>862</v>
      </c>
      <c r="B1141" s="122" t="s">
        <v>1926</v>
      </c>
      <c r="C1141" s="122" t="s">
        <v>3195</v>
      </c>
      <c r="D1141" s="122" t="s">
        <v>3456</v>
      </c>
      <c r="E1141" s="123">
        <v>46</v>
      </c>
      <c r="F1141" s="123">
        <v>0</v>
      </c>
      <c r="G1141" s="123">
        <f t="shared" si="324"/>
        <v>0</v>
      </c>
      <c r="H1141" s="123">
        <f t="shared" si="325"/>
        <v>0</v>
      </c>
      <c r="I1141" s="123">
        <f t="shared" si="326"/>
        <v>0</v>
      </c>
      <c r="J1141" s="123">
        <v>0</v>
      </c>
      <c r="K1141" s="123">
        <f t="shared" si="327"/>
        <v>0</v>
      </c>
      <c r="M1141" s="124" t="s">
        <v>8</v>
      </c>
      <c r="N1141" s="123">
        <f t="shared" si="328"/>
        <v>0</v>
      </c>
      <c r="Y1141" s="123">
        <f t="shared" si="329"/>
        <v>0</v>
      </c>
      <c r="Z1141" s="123">
        <f t="shared" si="330"/>
        <v>0</v>
      </c>
      <c r="AA1141" s="123">
        <f t="shared" si="331"/>
        <v>0</v>
      </c>
      <c r="AC1141" s="125">
        <v>20</v>
      </c>
      <c r="AD1141" s="125">
        <f t="shared" si="332"/>
        <v>0</v>
      </c>
      <c r="AE1141" s="125">
        <f t="shared" si="333"/>
        <v>0</v>
      </c>
    </row>
    <row r="1142" spans="1:31" s="90" customFormat="1" ht="11.25">
      <c r="A1142" s="122" t="s">
        <v>863</v>
      </c>
      <c r="B1142" s="122" t="s">
        <v>1861</v>
      </c>
      <c r="C1142" s="122" t="s">
        <v>3196</v>
      </c>
      <c r="D1142" s="122" t="s">
        <v>3456</v>
      </c>
      <c r="E1142" s="123">
        <v>3</v>
      </c>
      <c r="F1142" s="123">
        <v>0</v>
      </c>
      <c r="G1142" s="123">
        <f t="shared" si="324"/>
        <v>0</v>
      </c>
      <c r="H1142" s="123">
        <f t="shared" si="325"/>
        <v>0</v>
      </c>
      <c r="I1142" s="123">
        <f t="shared" si="326"/>
        <v>0</v>
      </c>
      <c r="J1142" s="123">
        <v>0</v>
      </c>
      <c r="K1142" s="123">
        <f t="shared" si="327"/>
        <v>0</v>
      </c>
      <c r="M1142" s="124" t="s">
        <v>8</v>
      </c>
      <c r="N1142" s="123">
        <f t="shared" si="328"/>
        <v>0</v>
      </c>
      <c r="Y1142" s="123">
        <f t="shared" si="329"/>
        <v>0</v>
      </c>
      <c r="Z1142" s="123">
        <f t="shared" si="330"/>
        <v>0</v>
      </c>
      <c r="AA1142" s="123">
        <f t="shared" si="331"/>
        <v>0</v>
      </c>
      <c r="AC1142" s="125">
        <v>20</v>
      </c>
      <c r="AD1142" s="125">
        <f>F1142*0.00526693799377544</f>
        <v>0</v>
      </c>
      <c r="AE1142" s="125">
        <f>F1142*(1-0.00526693799377544)</f>
        <v>0</v>
      </c>
    </row>
    <row r="1143" spans="1:31" s="90" customFormat="1" ht="11.25">
      <c r="A1143" s="122" t="s">
        <v>864</v>
      </c>
      <c r="B1143" s="122" t="s">
        <v>1927</v>
      </c>
      <c r="C1143" s="122" t="s">
        <v>3197</v>
      </c>
      <c r="D1143" s="122" t="s">
        <v>3456</v>
      </c>
      <c r="E1143" s="123">
        <v>1</v>
      </c>
      <c r="F1143" s="123">
        <v>0</v>
      </c>
      <c r="G1143" s="123">
        <f t="shared" si="324"/>
        <v>0</v>
      </c>
      <c r="H1143" s="123">
        <f t="shared" si="325"/>
        <v>0</v>
      </c>
      <c r="I1143" s="123">
        <f t="shared" si="326"/>
        <v>0</v>
      </c>
      <c r="J1143" s="123">
        <v>0</v>
      </c>
      <c r="K1143" s="123">
        <f t="shared" si="327"/>
        <v>0</v>
      </c>
      <c r="M1143" s="124" t="s">
        <v>8</v>
      </c>
      <c r="N1143" s="123">
        <f t="shared" si="328"/>
        <v>0</v>
      </c>
      <c r="Y1143" s="123">
        <f t="shared" si="329"/>
        <v>0</v>
      </c>
      <c r="Z1143" s="123">
        <f t="shared" si="330"/>
        <v>0</v>
      </c>
      <c r="AA1143" s="123">
        <f t="shared" si="331"/>
        <v>0</v>
      </c>
      <c r="AC1143" s="125">
        <v>20</v>
      </c>
      <c r="AD1143" s="125">
        <f>F1143*0.0044186688760011</f>
        <v>0</v>
      </c>
      <c r="AE1143" s="125">
        <f>F1143*(1-0.0044186688760011)</f>
        <v>0</v>
      </c>
    </row>
    <row r="1144" spans="1:31" s="90" customFormat="1" ht="11.25">
      <c r="A1144" s="122" t="s">
        <v>865</v>
      </c>
      <c r="B1144" s="122" t="s">
        <v>1928</v>
      </c>
      <c r="C1144" s="122" t="s">
        <v>3198</v>
      </c>
      <c r="D1144" s="122" t="s">
        <v>3456</v>
      </c>
      <c r="E1144" s="123">
        <v>102</v>
      </c>
      <c r="F1144" s="123">
        <v>0</v>
      </c>
      <c r="G1144" s="123">
        <f t="shared" si="324"/>
        <v>0</v>
      </c>
      <c r="H1144" s="123">
        <f t="shared" si="325"/>
        <v>0</v>
      </c>
      <c r="I1144" s="123">
        <f t="shared" si="326"/>
        <v>0</v>
      </c>
      <c r="J1144" s="123">
        <v>0</v>
      </c>
      <c r="K1144" s="123">
        <f t="shared" si="327"/>
        <v>0</v>
      </c>
      <c r="M1144" s="124" t="s">
        <v>8</v>
      </c>
      <c r="N1144" s="123">
        <f t="shared" si="328"/>
        <v>0</v>
      </c>
      <c r="Y1144" s="123">
        <f t="shared" si="329"/>
        <v>0</v>
      </c>
      <c r="Z1144" s="123">
        <f t="shared" si="330"/>
        <v>0</v>
      </c>
      <c r="AA1144" s="123">
        <f t="shared" si="331"/>
        <v>0</v>
      </c>
      <c r="AC1144" s="125">
        <v>20</v>
      </c>
      <c r="AD1144" s="125">
        <f>F1144*0</f>
        <v>0</v>
      </c>
      <c r="AE1144" s="125">
        <f>F1144*(1-0)</f>
        <v>0</v>
      </c>
    </row>
    <row r="1145" spans="1:31" s="90" customFormat="1" ht="11.25">
      <c r="A1145" s="122" t="s">
        <v>866</v>
      </c>
      <c r="B1145" s="122" t="s">
        <v>1928</v>
      </c>
      <c r="C1145" s="122" t="s">
        <v>3199</v>
      </c>
      <c r="D1145" s="122" t="s">
        <v>3456</v>
      </c>
      <c r="E1145" s="123">
        <v>8</v>
      </c>
      <c r="F1145" s="123">
        <v>0</v>
      </c>
      <c r="G1145" s="123">
        <f t="shared" si="324"/>
        <v>0</v>
      </c>
      <c r="H1145" s="123">
        <f t="shared" si="325"/>
        <v>0</v>
      </c>
      <c r="I1145" s="123">
        <f t="shared" si="326"/>
        <v>0</v>
      </c>
      <c r="J1145" s="123">
        <v>0</v>
      </c>
      <c r="K1145" s="123">
        <f t="shared" si="327"/>
        <v>0</v>
      </c>
      <c r="M1145" s="124" t="s">
        <v>8</v>
      </c>
      <c r="N1145" s="123">
        <f t="shared" si="328"/>
        <v>0</v>
      </c>
      <c r="Y1145" s="123">
        <f t="shared" si="329"/>
        <v>0</v>
      </c>
      <c r="Z1145" s="123">
        <f t="shared" si="330"/>
        <v>0</v>
      </c>
      <c r="AA1145" s="123">
        <f t="shared" si="331"/>
        <v>0</v>
      </c>
      <c r="AC1145" s="125">
        <v>20</v>
      </c>
      <c r="AD1145" s="125">
        <f>F1145*0</f>
        <v>0</v>
      </c>
      <c r="AE1145" s="125">
        <f>F1145*(1-0)</f>
        <v>0</v>
      </c>
    </row>
    <row r="1146" spans="1:31" s="90" customFormat="1" ht="11.25">
      <c r="A1146" s="122" t="s">
        <v>867</v>
      </c>
      <c r="B1146" s="122" t="s">
        <v>1929</v>
      </c>
      <c r="C1146" s="122" t="s">
        <v>3200</v>
      </c>
      <c r="D1146" s="122" t="s">
        <v>3456</v>
      </c>
      <c r="E1146" s="123">
        <v>1</v>
      </c>
      <c r="F1146" s="123">
        <v>0</v>
      </c>
      <c r="G1146" s="123">
        <f t="shared" si="324"/>
        <v>0</v>
      </c>
      <c r="H1146" s="123">
        <f t="shared" si="325"/>
        <v>0</v>
      </c>
      <c r="I1146" s="123">
        <f t="shared" si="326"/>
        <v>0</v>
      </c>
      <c r="J1146" s="123">
        <v>0</v>
      </c>
      <c r="K1146" s="123">
        <f t="shared" si="327"/>
        <v>0</v>
      </c>
      <c r="M1146" s="124" t="s">
        <v>8</v>
      </c>
      <c r="N1146" s="123">
        <f t="shared" si="328"/>
        <v>0</v>
      </c>
      <c r="Y1146" s="123">
        <f t="shared" si="329"/>
        <v>0</v>
      </c>
      <c r="Z1146" s="123">
        <f t="shared" si="330"/>
        <v>0</v>
      </c>
      <c r="AA1146" s="123">
        <f t="shared" si="331"/>
        <v>0</v>
      </c>
      <c r="AC1146" s="125">
        <v>20</v>
      </c>
      <c r="AD1146" s="125">
        <f>F1146*0.820055312695156</f>
        <v>0</v>
      </c>
      <c r="AE1146" s="125">
        <f>F1146*(1-0.820055312695156)</f>
        <v>0</v>
      </c>
    </row>
    <row r="1147" spans="1:31" s="90" customFormat="1" ht="11.25">
      <c r="A1147" s="122" t="s">
        <v>868</v>
      </c>
      <c r="B1147" s="122" t="s">
        <v>1930</v>
      </c>
      <c r="C1147" s="122" t="s">
        <v>3201</v>
      </c>
      <c r="D1147" s="122" t="s">
        <v>3456</v>
      </c>
      <c r="E1147" s="123">
        <v>2</v>
      </c>
      <c r="F1147" s="123">
        <v>0</v>
      </c>
      <c r="G1147" s="123">
        <f t="shared" si="324"/>
        <v>0</v>
      </c>
      <c r="H1147" s="123">
        <f t="shared" si="325"/>
        <v>0</v>
      </c>
      <c r="I1147" s="123">
        <f t="shared" si="326"/>
        <v>0</v>
      </c>
      <c r="J1147" s="123">
        <v>0.00073</v>
      </c>
      <c r="K1147" s="123">
        <f t="shared" si="327"/>
        <v>0.00146</v>
      </c>
      <c r="M1147" s="124" t="s">
        <v>8</v>
      </c>
      <c r="N1147" s="123">
        <f t="shared" si="328"/>
        <v>0</v>
      </c>
      <c r="Y1147" s="123">
        <f t="shared" si="329"/>
        <v>0</v>
      </c>
      <c r="Z1147" s="123">
        <f t="shared" si="330"/>
        <v>0</v>
      </c>
      <c r="AA1147" s="123">
        <f t="shared" si="331"/>
        <v>0</v>
      </c>
      <c r="AC1147" s="125">
        <v>20</v>
      </c>
      <c r="AD1147" s="125">
        <f>F1147*0.519117067402444</f>
        <v>0</v>
      </c>
      <c r="AE1147" s="125">
        <f>F1147*(1-0.519117067402444)</f>
        <v>0</v>
      </c>
    </row>
    <row r="1148" spans="1:31" s="90" customFormat="1" ht="11.25">
      <c r="A1148" s="122" t="s">
        <v>869</v>
      </c>
      <c r="B1148" s="122" t="s">
        <v>1931</v>
      </c>
      <c r="C1148" s="122" t="s">
        <v>3202</v>
      </c>
      <c r="D1148" s="122" t="s">
        <v>3456</v>
      </c>
      <c r="E1148" s="123">
        <v>80</v>
      </c>
      <c r="F1148" s="123">
        <v>0</v>
      </c>
      <c r="G1148" s="123">
        <f t="shared" si="324"/>
        <v>0</v>
      </c>
      <c r="H1148" s="123">
        <f t="shared" si="325"/>
        <v>0</v>
      </c>
      <c r="I1148" s="123">
        <f t="shared" si="326"/>
        <v>0</v>
      </c>
      <c r="J1148" s="123">
        <v>2E-05</v>
      </c>
      <c r="K1148" s="123">
        <f t="shared" si="327"/>
        <v>0.0016</v>
      </c>
      <c r="M1148" s="124" t="s">
        <v>8</v>
      </c>
      <c r="N1148" s="123">
        <f t="shared" si="328"/>
        <v>0</v>
      </c>
      <c r="Y1148" s="123">
        <f t="shared" si="329"/>
        <v>0</v>
      </c>
      <c r="Z1148" s="123">
        <f t="shared" si="330"/>
        <v>0</v>
      </c>
      <c r="AA1148" s="123">
        <f t="shared" si="331"/>
        <v>0</v>
      </c>
      <c r="AC1148" s="125">
        <v>20</v>
      </c>
      <c r="AD1148" s="125">
        <f>F1148*0.151611760538434</f>
        <v>0</v>
      </c>
      <c r="AE1148" s="125">
        <f>F1148*(1-0.151611760538434)</f>
        <v>0</v>
      </c>
    </row>
    <row r="1149" spans="1:31" s="90" customFormat="1" ht="11.25">
      <c r="A1149" s="122" t="s">
        <v>870</v>
      </c>
      <c r="B1149" s="122" t="s">
        <v>1932</v>
      </c>
      <c r="C1149" s="122" t="s">
        <v>3203</v>
      </c>
      <c r="D1149" s="122" t="s">
        <v>3456</v>
      </c>
      <c r="E1149" s="123">
        <v>18</v>
      </c>
      <c r="F1149" s="123">
        <v>0</v>
      </c>
      <c r="G1149" s="123">
        <f t="shared" si="324"/>
        <v>0</v>
      </c>
      <c r="H1149" s="123">
        <f t="shared" si="325"/>
        <v>0</v>
      </c>
      <c r="I1149" s="123">
        <f t="shared" si="326"/>
        <v>0</v>
      </c>
      <c r="J1149" s="123">
        <v>3E-05</v>
      </c>
      <c r="K1149" s="123">
        <f t="shared" si="327"/>
        <v>0.00054</v>
      </c>
      <c r="M1149" s="124" t="s">
        <v>8</v>
      </c>
      <c r="N1149" s="123">
        <f t="shared" si="328"/>
        <v>0</v>
      </c>
      <c r="Y1149" s="123">
        <f t="shared" si="329"/>
        <v>0</v>
      </c>
      <c r="Z1149" s="123">
        <f t="shared" si="330"/>
        <v>0</v>
      </c>
      <c r="AA1149" s="123">
        <f t="shared" si="331"/>
        <v>0</v>
      </c>
      <c r="AC1149" s="125">
        <v>20</v>
      </c>
      <c r="AD1149" s="125">
        <f>F1149*0.297297297297297</f>
        <v>0</v>
      </c>
      <c r="AE1149" s="125">
        <f>F1149*(1-0.297297297297297)</f>
        <v>0</v>
      </c>
    </row>
    <row r="1150" spans="1:31" s="90" customFormat="1" ht="11.25">
      <c r="A1150" s="122" t="s">
        <v>871</v>
      </c>
      <c r="B1150" s="122" t="s">
        <v>1933</v>
      </c>
      <c r="C1150" s="122" t="s">
        <v>3204</v>
      </c>
      <c r="D1150" s="122" t="s">
        <v>3456</v>
      </c>
      <c r="E1150" s="123">
        <v>7</v>
      </c>
      <c r="F1150" s="123">
        <v>0</v>
      </c>
      <c r="G1150" s="123">
        <f t="shared" si="324"/>
        <v>0</v>
      </c>
      <c r="H1150" s="123">
        <f t="shared" si="325"/>
        <v>0</v>
      </c>
      <c r="I1150" s="123">
        <f t="shared" si="326"/>
        <v>0</v>
      </c>
      <c r="J1150" s="123">
        <v>0</v>
      </c>
      <c r="K1150" s="123">
        <f t="shared" si="327"/>
        <v>0</v>
      </c>
      <c r="M1150" s="124" t="s">
        <v>8</v>
      </c>
      <c r="N1150" s="123">
        <f t="shared" si="328"/>
        <v>0</v>
      </c>
      <c r="Y1150" s="123">
        <f t="shared" si="329"/>
        <v>0</v>
      </c>
      <c r="Z1150" s="123">
        <f t="shared" si="330"/>
        <v>0</v>
      </c>
      <c r="AA1150" s="123">
        <f t="shared" si="331"/>
        <v>0</v>
      </c>
      <c r="AC1150" s="125">
        <v>20</v>
      </c>
      <c r="AD1150" s="125">
        <f>F1150*0.187388591800356</f>
        <v>0</v>
      </c>
      <c r="AE1150" s="125">
        <f>F1150*(1-0.187388591800356)</f>
        <v>0</v>
      </c>
    </row>
    <row r="1151" spans="1:31" s="90" customFormat="1" ht="11.25">
      <c r="A1151" s="122" t="s">
        <v>872</v>
      </c>
      <c r="B1151" s="122" t="s">
        <v>1866</v>
      </c>
      <c r="C1151" s="122" t="s">
        <v>3205</v>
      </c>
      <c r="D1151" s="122" t="s">
        <v>3455</v>
      </c>
      <c r="E1151" s="123">
        <v>58</v>
      </c>
      <c r="F1151" s="123">
        <v>0</v>
      </c>
      <c r="G1151" s="123">
        <f t="shared" si="324"/>
        <v>0</v>
      </c>
      <c r="H1151" s="123">
        <f t="shared" si="325"/>
        <v>0</v>
      </c>
      <c r="I1151" s="123">
        <f t="shared" si="326"/>
        <v>0</v>
      </c>
      <c r="J1151" s="123">
        <v>0.00155</v>
      </c>
      <c r="K1151" s="123">
        <f t="shared" si="327"/>
        <v>0.0899</v>
      </c>
      <c r="M1151" s="124" t="s">
        <v>8</v>
      </c>
      <c r="N1151" s="123">
        <f t="shared" si="328"/>
        <v>0</v>
      </c>
      <c r="Y1151" s="123">
        <f t="shared" si="329"/>
        <v>0</v>
      </c>
      <c r="Z1151" s="123">
        <f t="shared" si="330"/>
        <v>0</v>
      </c>
      <c r="AA1151" s="123">
        <f t="shared" si="331"/>
        <v>0</v>
      </c>
      <c r="AC1151" s="125">
        <v>20</v>
      </c>
      <c r="AD1151" s="125">
        <f>F1151*0.571684976017329</f>
        <v>0</v>
      </c>
      <c r="AE1151" s="125">
        <f>F1151*(1-0.571684976017329)</f>
        <v>0</v>
      </c>
    </row>
    <row r="1152" spans="1:31" s="90" customFormat="1" ht="11.25">
      <c r="A1152" s="122" t="s">
        <v>873</v>
      </c>
      <c r="B1152" s="122" t="s">
        <v>1934</v>
      </c>
      <c r="C1152" s="122" t="s">
        <v>3206</v>
      </c>
      <c r="D1152" s="122" t="s">
        <v>3455</v>
      </c>
      <c r="E1152" s="123">
        <v>70</v>
      </c>
      <c r="F1152" s="123">
        <v>0</v>
      </c>
      <c r="G1152" s="123">
        <f t="shared" si="324"/>
        <v>0</v>
      </c>
      <c r="H1152" s="123">
        <f t="shared" si="325"/>
        <v>0</v>
      </c>
      <c r="I1152" s="123">
        <f t="shared" si="326"/>
        <v>0</v>
      </c>
      <c r="J1152" s="123">
        <v>0</v>
      </c>
      <c r="K1152" s="123">
        <f t="shared" si="327"/>
        <v>0</v>
      </c>
      <c r="M1152" s="124" t="s">
        <v>8</v>
      </c>
      <c r="N1152" s="123">
        <f t="shared" si="328"/>
        <v>0</v>
      </c>
      <c r="Y1152" s="123">
        <f t="shared" si="329"/>
        <v>0</v>
      </c>
      <c r="Z1152" s="123">
        <f t="shared" si="330"/>
        <v>0</v>
      </c>
      <c r="AA1152" s="123">
        <f t="shared" si="331"/>
        <v>0</v>
      </c>
      <c r="AC1152" s="125">
        <v>20</v>
      </c>
      <c r="AD1152" s="125">
        <f>F1152*0</f>
        <v>0</v>
      </c>
      <c r="AE1152" s="125">
        <f>F1152*(1-0)</f>
        <v>0</v>
      </c>
    </row>
    <row r="1153" spans="1:31" s="90" customFormat="1" ht="11.25">
      <c r="A1153" s="122" t="s">
        <v>874</v>
      </c>
      <c r="B1153" s="122" t="s">
        <v>1935</v>
      </c>
      <c r="C1153" s="122" t="s">
        <v>3207</v>
      </c>
      <c r="D1153" s="122" t="s">
        <v>3456</v>
      </c>
      <c r="E1153" s="123">
        <v>2</v>
      </c>
      <c r="F1153" s="123">
        <v>0</v>
      </c>
      <c r="G1153" s="123">
        <f t="shared" si="324"/>
        <v>0</v>
      </c>
      <c r="H1153" s="123">
        <f t="shared" si="325"/>
        <v>0</v>
      </c>
      <c r="I1153" s="123">
        <f t="shared" si="326"/>
        <v>0</v>
      </c>
      <c r="J1153" s="123">
        <v>1E-05</v>
      </c>
      <c r="K1153" s="123">
        <f t="shared" si="327"/>
        <v>2E-05</v>
      </c>
      <c r="M1153" s="124" t="s">
        <v>8</v>
      </c>
      <c r="N1153" s="123">
        <f t="shared" si="328"/>
        <v>0</v>
      </c>
      <c r="Y1153" s="123">
        <f t="shared" si="329"/>
        <v>0</v>
      </c>
      <c r="Z1153" s="123">
        <f t="shared" si="330"/>
        <v>0</v>
      </c>
      <c r="AA1153" s="123">
        <f t="shared" si="331"/>
        <v>0</v>
      </c>
      <c r="AC1153" s="125">
        <v>20</v>
      </c>
      <c r="AD1153" s="125">
        <f>F1153*0.0169646950939936</f>
        <v>0</v>
      </c>
      <c r="AE1153" s="125">
        <f>F1153*(1-0.0169646950939936)</f>
        <v>0</v>
      </c>
    </row>
    <row r="1154" spans="1:31" s="90" customFormat="1" ht="11.25">
      <c r="A1154" s="122" t="s">
        <v>875</v>
      </c>
      <c r="B1154" s="122" t="s">
        <v>1936</v>
      </c>
      <c r="C1154" s="122" t="s">
        <v>3208</v>
      </c>
      <c r="D1154" s="122" t="s">
        <v>3456</v>
      </c>
      <c r="E1154" s="123">
        <v>44</v>
      </c>
      <c r="F1154" s="123">
        <v>0</v>
      </c>
      <c r="G1154" s="123">
        <f t="shared" si="324"/>
        <v>0</v>
      </c>
      <c r="H1154" s="123">
        <f t="shared" si="325"/>
        <v>0</v>
      </c>
      <c r="I1154" s="123">
        <f t="shared" si="326"/>
        <v>0</v>
      </c>
      <c r="J1154" s="123">
        <v>0</v>
      </c>
      <c r="K1154" s="123">
        <f t="shared" si="327"/>
        <v>0</v>
      </c>
      <c r="M1154" s="124" t="s">
        <v>8</v>
      </c>
      <c r="N1154" s="123">
        <f t="shared" si="328"/>
        <v>0</v>
      </c>
      <c r="Y1154" s="123">
        <f t="shared" si="329"/>
        <v>0</v>
      </c>
      <c r="Z1154" s="123">
        <f t="shared" si="330"/>
        <v>0</v>
      </c>
      <c r="AA1154" s="123">
        <f t="shared" si="331"/>
        <v>0</v>
      </c>
      <c r="AC1154" s="125">
        <v>20</v>
      </c>
      <c r="AD1154" s="125">
        <f>F1154*0.514238683127572</f>
        <v>0</v>
      </c>
      <c r="AE1154" s="125">
        <f>F1154*(1-0.514238683127572)</f>
        <v>0</v>
      </c>
    </row>
    <row r="1155" spans="1:31" s="90" customFormat="1" ht="11.25">
      <c r="A1155" s="122" t="s">
        <v>876</v>
      </c>
      <c r="B1155" s="122" t="s">
        <v>1936</v>
      </c>
      <c r="C1155" s="122" t="s">
        <v>3209</v>
      </c>
      <c r="D1155" s="122" t="s">
        <v>3456</v>
      </c>
      <c r="E1155" s="123">
        <v>2</v>
      </c>
      <c r="F1155" s="123">
        <v>0</v>
      </c>
      <c r="G1155" s="123">
        <f t="shared" si="324"/>
        <v>0</v>
      </c>
      <c r="H1155" s="123">
        <f t="shared" si="325"/>
        <v>0</v>
      </c>
      <c r="I1155" s="123">
        <f t="shared" si="326"/>
        <v>0</v>
      </c>
      <c r="J1155" s="123">
        <v>0</v>
      </c>
      <c r="K1155" s="123">
        <f t="shared" si="327"/>
        <v>0</v>
      </c>
      <c r="M1155" s="124" t="s">
        <v>8</v>
      </c>
      <c r="N1155" s="123">
        <f t="shared" si="328"/>
        <v>0</v>
      </c>
      <c r="Y1155" s="123">
        <f t="shared" si="329"/>
        <v>0</v>
      </c>
      <c r="Z1155" s="123">
        <f t="shared" si="330"/>
        <v>0</v>
      </c>
      <c r="AA1155" s="123">
        <f t="shared" si="331"/>
        <v>0</v>
      </c>
      <c r="AC1155" s="125">
        <v>20</v>
      </c>
      <c r="AD1155" s="125">
        <f>F1155*0.514314998291766</f>
        <v>0</v>
      </c>
      <c r="AE1155" s="125">
        <f>F1155*(1-0.514314998291766)</f>
        <v>0</v>
      </c>
    </row>
    <row r="1156" spans="1:31" s="90" customFormat="1" ht="11.25">
      <c r="A1156" s="122" t="s">
        <v>877</v>
      </c>
      <c r="B1156" s="122" t="s">
        <v>1937</v>
      </c>
      <c r="C1156" s="122" t="s">
        <v>3210</v>
      </c>
      <c r="D1156" s="122" t="s">
        <v>3456</v>
      </c>
      <c r="E1156" s="123">
        <v>15</v>
      </c>
      <c r="F1156" s="123">
        <v>0</v>
      </c>
      <c r="G1156" s="123">
        <f t="shared" si="324"/>
        <v>0</v>
      </c>
      <c r="H1156" s="123">
        <f t="shared" si="325"/>
        <v>0</v>
      </c>
      <c r="I1156" s="123">
        <f t="shared" si="326"/>
        <v>0</v>
      </c>
      <c r="J1156" s="123">
        <v>0</v>
      </c>
      <c r="K1156" s="123">
        <f t="shared" si="327"/>
        <v>0</v>
      </c>
      <c r="M1156" s="124" t="s">
        <v>8</v>
      </c>
      <c r="N1156" s="123">
        <f t="shared" si="328"/>
        <v>0</v>
      </c>
      <c r="Y1156" s="123">
        <f t="shared" si="329"/>
        <v>0</v>
      </c>
      <c r="Z1156" s="123">
        <f t="shared" si="330"/>
        <v>0</v>
      </c>
      <c r="AA1156" s="123">
        <f t="shared" si="331"/>
        <v>0</v>
      </c>
      <c r="AC1156" s="125">
        <v>20</v>
      </c>
      <c r="AD1156" s="125">
        <f>F1156*0</f>
        <v>0</v>
      </c>
      <c r="AE1156" s="125">
        <f>F1156*(1-0)</f>
        <v>0</v>
      </c>
    </row>
    <row r="1157" s="90" customFormat="1" ht="22.5">
      <c r="C1157" s="126" t="s">
        <v>3211</v>
      </c>
    </row>
    <row r="1158" spans="1:31" s="90" customFormat="1" ht="11.25">
      <c r="A1158" s="122" t="s">
        <v>878</v>
      </c>
      <c r="B1158" s="122" t="s">
        <v>1937</v>
      </c>
      <c r="C1158" s="122" t="s">
        <v>3212</v>
      </c>
      <c r="D1158" s="122" t="s">
        <v>3456</v>
      </c>
      <c r="E1158" s="123">
        <v>10</v>
      </c>
      <c r="F1158" s="123">
        <v>0</v>
      </c>
      <c r="G1158" s="123">
        <f aca="true" t="shared" si="334" ref="G1158:G1189">ROUND(E1158*AD1158,2)</f>
        <v>0</v>
      </c>
      <c r="H1158" s="123">
        <f aca="true" t="shared" si="335" ref="H1158:H1189">I1158-G1158</f>
        <v>0</v>
      </c>
      <c r="I1158" s="123">
        <f aca="true" t="shared" si="336" ref="I1158:I1189">ROUND(E1158*F1158,2)</f>
        <v>0</v>
      </c>
      <c r="J1158" s="123">
        <v>0</v>
      </c>
      <c r="K1158" s="123">
        <f aca="true" t="shared" si="337" ref="K1158:K1189">E1158*J1158</f>
        <v>0</v>
      </c>
      <c r="M1158" s="124" t="s">
        <v>8</v>
      </c>
      <c r="N1158" s="123">
        <f aca="true" t="shared" si="338" ref="N1158:N1189">IF(M1158="5",H1158,0)</f>
        <v>0</v>
      </c>
      <c r="Y1158" s="123">
        <f aca="true" t="shared" si="339" ref="Y1158:Y1189">IF(AC1158=0,I1158,0)</f>
        <v>0</v>
      </c>
      <c r="Z1158" s="123">
        <f aca="true" t="shared" si="340" ref="Z1158:Z1189">IF(AC1158=14,I1158,0)</f>
        <v>0</v>
      </c>
      <c r="AA1158" s="123">
        <f aca="true" t="shared" si="341" ref="AA1158:AA1189">IF(AC1158=20,I1158,0)</f>
        <v>0</v>
      </c>
      <c r="AC1158" s="125">
        <v>20</v>
      </c>
      <c r="AD1158" s="125">
        <f>F1158*0.56748204940976</f>
        <v>0</v>
      </c>
      <c r="AE1158" s="125">
        <f>F1158*(1-0.56748204940976)</f>
        <v>0</v>
      </c>
    </row>
    <row r="1159" spans="1:31" s="90" customFormat="1" ht="11.25">
      <c r="A1159" s="122" t="s">
        <v>879</v>
      </c>
      <c r="B1159" s="122" t="s">
        <v>1938</v>
      </c>
      <c r="C1159" s="122" t="s">
        <v>3213</v>
      </c>
      <c r="D1159" s="122" t="s">
        <v>3465</v>
      </c>
      <c r="E1159" s="123">
        <v>20</v>
      </c>
      <c r="F1159" s="123">
        <v>0</v>
      </c>
      <c r="G1159" s="123">
        <f t="shared" si="334"/>
        <v>0</v>
      </c>
      <c r="H1159" s="123">
        <f t="shared" si="335"/>
        <v>0</v>
      </c>
      <c r="I1159" s="123">
        <f t="shared" si="336"/>
        <v>0</v>
      </c>
      <c r="J1159" s="123">
        <v>0</v>
      </c>
      <c r="K1159" s="123">
        <f t="shared" si="337"/>
        <v>0</v>
      </c>
      <c r="M1159" s="124" t="s">
        <v>8</v>
      </c>
      <c r="N1159" s="123">
        <f t="shared" si="338"/>
        <v>0</v>
      </c>
      <c r="Y1159" s="123">
        <f t="shared" si="339"/>
        <v>0</v>
      </c>
      <c r="Z1159" s="123">
        <f t="shared" si="340"/>
        <v>0</v>
      </c>
      <c r="AA1159" s="123">
        <f t="shared" si="341"/>
        <v>0</v>
      </c>
      <c r="AC1159" s="125">
        <v>20</v>
      </c>
      <c r="AD1159" s="125">
        <f>F1159*0</f>
        <v>0</v>
      </c>
      <c r="AE1159" s="125">
        <f>F1159*(1-0)</f>
        <v>0</v>
      </c>
    </row>
    <row r="1160" spans="1:31" s="90" customFormat="1" ht="11.25">
      <c r="A1160" s="122" t="s">
        <v>880</v>
      </c>
      <c r="B1160" s="122" t="s">
        <v>1939</v>
      </c>
      <c r="C1160" s="122" t="s">
        <v>3214</v>
      </c>
      <c r="D1160" s="122" t="s">
        <v>3456</v>
      </c>
      <c r="E1160" s="123">
        <v>4</v>
      </c>
      <c r="F1160" s="123">
        <v>0</v>
      </c>
      <c r="G1160" s="123">
        <f t="shared" si="334"/>
        <v>0</v>
      </c>
      <c r="H1160" s="123">
        <f t="shared" si="335"/>
        <v>0</v>
      </c>
      <c r="I1160" s="123">
        <f t="shared" si="336"/>
        <v>0</v>
      </c>
      <c r="J1160" s="123">
        <v>1E-05</v>
      </c>
      <c r="K1160" s="123">
        <f t="shared" si="337"/>
        <v>4E-05</v>
      </c>
      <c r="M1160" s="124" t="s">
        <v>8</v>
      </c>
      <c r="N1160" s="123">
        <f t="shared" si="338"/>
        <v>0</v>
      </c>
      <c r="Y1160" s="123">
        <f t="shared" si="339"/>
        <v>0</v>
      </c>
      <c r="Z1160" s="123">
        <f t="shared" si="340"/>
        <v>0</v>
      </c>
      <c r="AA1160" s="123">
        <f t="shared" si="341"/>
        <v>0</v>
      </c>
      <c r="AC1160" s="125">
        <v>20</v>
      </c>
      <c r="AD1160" s="125">
        <f>F1160*0.193893487427768</f>
        <v>0</v>
      </c>
      <c r="AE1160" s="125">
        <f>F1160*(1-0.193893487427768)</f>
        <v>0</v>
      </c>
    </row>
    <row r="1161" spans="1:31" s="90" customFormat="1" ht="11.25">
      <c r="A1161" s="122" t="s">
        <v>881</v>
      </c>
      <c r="B1161" s="122" t="s">
        <v>1940</v>
      </c>
      <c r="C1161" s="122" t="s">
        <v>3215</v>
      </c>
      <c r="D1161" s="122" t="s">
        <v>3456</v>
      </c>
      <c r="E1161" s="123">
        <v>16</v>
      </c>
      <c r="F1161" s="123">
        <v>0</v>
      </c>
      <c r="G1161" s="123">
        <f t="shared" si="334"/>
        <v>0</v>
      </c>
      <c r="H1161" s="123">
        <f t="shared" si="335"/>
        <v>0</v>
      </c>
      <c r="I1161" s="123">
        <f t="shared" si="336"/>
        <v>0</v>
      </c>
      <c r="J1161" s="123">
        <v>0</v>
      </c>
      <c r="K1161" s="123">
        <f t="shared" si="337"/>
        <v>0</v>
      </c>
      <c r="M1161" s="124" t="s">
        <v>8</v>
      </c>
      <c r="N1161" s="123">
        <f t="shared" si="338"/>
        <v>0</v>
      </c>
      <c r="Y1161" s="123">
        <f t="shared" si="339"/>
        <v>0</v>
      </c>
      <c r="Z1161" s="123">
        <f t="shared" si="340"/>
        <v>0</v>
      </c>
      <c r="AA1161" s="123">
        <f t="shared" si="341"/>
        <v>0</v>
      </c>
      <c r="AC1161" s="125">
        <v>20</v>
      </c>
      <c r="AD1161" s="125">
        <f aca="true" t="shared" si="342" ref="AD1161:AD1166">F1161*0</f>
        <v>0</v>
      </c>
      <c r="AE1161" s="125">
        <f aca="true" t="shared" si="343" ref="AE1161:AE1166">F1161*(1-0)</f>
        <v>0</v>
      </c>
    </row>
    <row r="1162" spans="1:31" s="90" customFormat="1" ht="11.25">
      <c r="A1162" s="122" t="s">
        <v>882</v>
      </c>
      <c r="B1162" s="122" t="s">
        <v>1941</v>
      </c>
      <c r="C1162" s="122" t="s">
        <v>2160</v>
      </c>
      <c r="D1162" s="122" t="s">
        <v>3465</v>
      </c>
      <c r="E1162" s="123">
        <v>26</v>
      </c>
      <c r="F1162" s="123">
        <v>0</v>
      </c>
      <c r="G1162" s="123">
        <f t="shared" si="334"/>
        <v>0</v>
      </c>
      <c r="H1162" s="123">
        <f t="shared" si="335"/>
        <v>0</v>
      </c>
      <c r="I1162" s="123">
        <f t="shared" si="336"/>
        <v>0</v>
      </c>
      <c r="J1162" s="123">
        <v>0</v>
      </c>
      <c r="K1162" s="123">
        <f t="shared" si="337"/>
        <v>0</v>
      </c>
      <c r="M1162" s="124" t="s">
        <v>8</v>
      </c>
      <c r="N1162" s="123">
        <f t="shared" si="338"/>
        <v>0</v>
      </c>
      <c r="Y1162" s="123">
        <f t="shared" si="339"/>
        <v>0</v>
      </c>
      <c r="Z1162" s="123">
        <f t="shared" si="340"/>
        <v>0</v>
      </c>
      <c r="AA1162" s="123">
        <f t="shared" si="341"/>
        <v>0</v>
      </c>
      <c r="AC1162" s="125">
        <v>20</v>
      </c>
      <c r="AD1162" s="125">
        <f t="shared" si="342"/>
        <v>0</v>
      </c>
      <c r="AE1162" s="125">
        <f t="shared" si="343"/>
        <v>0</v>
      </c>
    </row>
    <row r="1163" spans="1:31" s="90" customFormat="1" ht="11.25">
      <c r="A1163" s="122" t="s">
        <v>883</v>
      </c>
      <c r="B1163" s="122" t="s">
        <v>1942</v>
      </c>
      <c r="C1163" s="122" t="s">
        <v>3216</v>
      </c>
      <c r="D1163" s="122" t="s">
        <v>3456</v>
      </c>
      <c r="E1163" s="123">
        <v>66</v>
      </c>
      <c r="F1163" s="123">
        <v>0</v>
      </c>
      <c r="G1163" s="123">
        <f t="shared" si="334"/>
        <v>0</v>
      </c>
      <c r="H1163" s="123">
        <f t="shared" si="335"/>
        <v>0</v>
      </c>
      <c r="I1163" s="123">
        <f t="shared" si="336"/>
        <v>0</v>
      </c>
      <c r="J1163" s="123">
        <v>0</v>
      </c>
      <c r="K1163" s="123">
        <f t="shared" si="337"/>
        <v>0</v>
      </c>
      <c r="M1163" s="124" t="s">
        <v>8</v>
      </c>
      <c r="N1163" s="123">
        <f t="shared" si="338"/>
        <v>0</v>
      </c>
      <c r="Y1163" s="123">
        <f t="shared" si="339"/>
        <v>0</v>
      </c>
      <c r="Z1163" s="123">
        <f t="shared" si="340"/>
        <v>0</v>
      </c>
      <c r="AA1163" s="123">
        <f t="shared" si="341"/>
        <v>0</v>
      </c>
      <c r="AC1163" s="125">
        <v>20</v>
      </c>
      <c r="AD1163" s="125">
        <f t="shared" si="342"/>
        <v>0</v>
      </c>
      <c r="AE1163" s="125">
        <f t="shared" si="343"/>
        <v>0</v>
      </c>
    </row>
    <row r="1164" spans="1:31" s="90" customFormat="1" ht="11.25">
      <c r="A1164" s="122" t="s">
        <v>884</v>
      </c>
      <c r="B1164" s="122" t="s">
        <v>1943</v>
      </c>
      <c r="C1164" s="122" t="s">
        <v>3217</v>
      </c>
      <c r="D1164" s="122" t="s">
        <v>3465</v>
      </c>
      <c r="E1164" s="123">
        <v>12</v>
      </c>
      <c r="F1164" s="123">
        <v>0</v>
      </c>
      <c r="G1164" s="123">
        <f t="shared" si="334"/>
        <v>0</v>
      </c>
      <c r="H1164" s="123">
        <f t="shared" si="335"/>
        <v>0</v>
      </c>
      <c r="I1164" s="123">
        <f t="shared" si="336"/>
        <v>0</v>
      </c>
      <c r="J1164" s="123">
        <v>0</v>
      </c>
      <c r="K1164" s="123">
        <f t="shared" si="337"/>
        <v>0</v>
      </c>
      <c r="M1164" s="124" t="s">
        <v>8</v>
      </c>
      <c r="N1164" s="123">
        <f t="shared" si="338"/>
        <v>0</v>
      </c>
      <c r="Y1164" s="123">
        <f t="shared" si="339"/>
        <v>0</v>
      </c>
      <c r="Z1164" s="123">
        <f t="shared" si="340"/>
        <v>0</v>
      </c>
      <c r="AA1164" s="123">
        <f t="shared" si="341"/>
        <v>0</v>
      </c>
      <c r="AC1164" s="125">
        <v>20</v>
      </c>
      <c r="AD1164" s="125">
        <f t="shared" si="342"/>
        <v>0</v>
      </c>
      <c r="AE1164" s="125">
        <f t="shared" si="343"/>
        <v>0</v>
      </c>
    </row>
    <row r="1165" spans="1:31" s="90" customFormat="1" ht="11.25">
      <c r="A1165" s="122" t="s">
        <v>885</v>
      </c>
      <c r="B1165" s="122" t="s">
        <v>1944</v>
      </c>
      <c r="C1165" s="122" t="s">
        <v>3218</v>
      </c>
      <c r="D1165" s="122" t="s">
        <v>3465</v>
      </c>
      <c r="E1165" s="123">
        <v>7</v>
      </c>
      <c r="F1165" s="123">
        <v>0</v>
      </c>
      <c r="G1165" s="123">
        <f t="shared" si="334"/>
        <v>0</v>
      </c>
      <c r="H1165" s="123">
        <f t="shared" si="335"/>
        <v>0</v>
      </c>
      <c r="I1165" s="123">
        <f t="shared" si="336"/>
        <v>0</v>
      </c>
      <c r="J1165" s="123">
        <v>0</v>
      </c>
      <c r="K1165" s="123">
        <f t="shared" si="337"/>
        <v>0</v>
      </c>
      <c r="M1165" s="124" t="s">
        <v>8</v>
      </c>
      <c r="N1165" s="123">
        <f t="shared" si="338"/>
        <v>0</v>
      </c>
      <c r="Y1165" s="123">
        <f t="shared" si="339"/>
        <v>0</v>
      </c>
      <c r="Z1165" s="123">
        <f t="shared" si="340"/>
        <v>0</v>
      </c>
      <c r="AA1165" s="123">
        <f t="shared" si="341"/>
        <v>0</v>
      </c>
      <c r="AC1165" s="125">
        <v>20</v>
      </c>
      <c r="AD1165" s="125">
        <f t="shared" si="342"/>
        <v>0</v>
      </c>
      <c r="AE1165" s="125">
        <f t="shared" si="343"/>
        <v>0</v>
      </c>
    </row>
    <row r="1166" spans="1:31" s="90" customFormat="1" ht="11.25">
      <c r="A1166" s="122" t="s">
        <v>886</v>
      </c>
      <c r="B1166" s="122" t="s">
        <v>1945</v>
      </c>
      <c r="C1166" s="122" t="s">
        <v>3219</v>
      </c>
      <c r="D1166" s="122" t="s">
        <v>3465</v>
      </c>
      <c r="E1166" s="123">
        <v>22</v>
      </c>
      <c r="F1166" s="123">
        <v>0</v>
      </c>
      <c r="G1166" s="123">
        <f t="shared" si="334"/>
        <v>0</v>
      </c>
      <c r="H1166" s="123">
        <f t="shared" si="335"/>
        <v>0</v>
      </c>
      <c r="I1166" s="123">
        <f t="shared" si="336"/>
        <v>0</v>
      </c>
      <c r="J1166" s="123">
        <v>0</v>
      </c>
      <c r="K1166" s="123">
        <f t="shared" si="337"/>
        <v>0</v>
      </c>
      <c r="M1166" s="124" t="s">
        <v>8</v>
      </c>
      <c r="N1166" s="123">
        <f t="shared" si="338"/>
        <v>0</v>
      </c>
      <c r="Y1166" s="123">
        <f t="shared" si="339"/>
        <v>0</v>
      </c>
      <c r="Z1166" s="123">
        <f t="shared" si="340"/>
        <v>0</v>
      </c>
      <c r="AA1166" s="123">
        <f t="shared" si="341"/>
        <v>0</v>
      </c>
      <c r="AC1166" s="125">
        <v>20</v>
      </c>
      <c r="AD1166" s="125">
        <f t="shared" si="342"/>
        <v>0</v>
      </c>
      <c r="AE1166" s="125">
        <f t="shared" si="343"/>
        <v>0</v>
      </c>
    </row>
    <row r="1167" spans="1:31" s="90" customFormat="1" ht="11.25">
      <c r="A1167" s="122" t="s">
        <v>887</v>
      </c>
      <c r="B1167" s="122" t="s">
        <v>1946</v>
      </c>
      <c r="C1167" s="122" t="s">
        <v>3220</v>
      </c>
      <c r="D1167" s="122" t="s">
        <v>3456</v>
      </c>
      <c r="E1167" s="123">
        <v>1</v>
      </c>
      <c r="F1167" s="123">
        <v>0</v>
      </c>
      <c r="G1167" s="123">
        <f t="shared" si="334"/>
        <v>0</v>
      </c>
      <c r="H1167" s="123">
        <f t="shared" si="335"/>
        <v>0</v>
      </c>
      <c r="I1167" s="123">
        <f t="shared" si="336"/>
        <v>0</v>
      </c>
      <c r="J1167" s="123">
        <v>0</v>
      </c>
      <c r="K1167" s="123">
        <f t="shared" si="337"/>
        <v>0</v>
      </c>
      <c r="M1167" s="124" t="s">
        <v>8</v>
      </c>
      <c r="N1167" s="123">
        <f t="shared" si="338"/>
        <v>0</v>
      </c>
      <c r="Y1167" s="123">
        <f t="shared" si="339"/>
        <v>0</v>
      </c>
      <c r="Z1167" s="123">
        <f t="shared" si="340"/>
        <v>0</v>
      </c>
      <c r="AA1167" s="123">
        <f t="shared" si="341"/>
        <v>0</v>
      </c>
      <c r="AC1167" s="125">
        <v>20</v>
      </c>
      <c r="AD1167" s="125">
        <f>F1167*0.0812747861818529</f>
        <v>0</v>
      </c>
      <c r="AE1167" s="125">
        <f>F1167*(1-0.0812747861818529)</f>
        <v>0</v>
      </c>
    </row>
    <row r="1168" spans="1:31" s="90" customFormat="1" ht="11.25">
      <c r="A1168" s="122" t="s">
        <v>888</v>
      </c>
      <c r="B1168" s="122" t="s">
        <v>1947</v>
      </c>
      <c r="C1168" s="122" t="s">
        <v>3221</v>
      </c>
      <c r="D1168" s="122" t="s">
        <v>3456</v>
      </c>
      <c r="E1168" s="123">
        <v>6</v>
      </c>
      <c r="F1168" s="123">
        <v>0</v>
      </c>
      <c r="G1168" s="123">
        <f t="shared" si="334"/>
        <v>0</v>
      </c>
      <c r="H1168" s="123">
        <f t="shared" si="335"/>
        <v>0</v>
      </c>
      <c r="I1168" s="123">
        <f t="shared" si="336"/>
        <v>0</v>
      </c>
      <c r="J1168" s="123">
        <v>0</v>
      </c>
      <c r="K1168" s="123">
        <f t="shared" si="337"/>
        <v>0</v>
      </c>
      <c r="M1168" s="124" t="s">
        <v>8</v>
      </c>
      <c r="N1168" s="123">
        <f t="shared" si="338"/>
        <v>0</v>
      </c>
      <c r="Y1168" s="123">
        <f t="shared" si="339"/>
        <v>0</v>
      </c>
      <c r="Z1168" s="123">
        <f t="shared" si="340"/>
        <v>0</v>
      </c>
      <c r="AA1168" s="123">
        <f t="shared" si="341"/>
        <v>0</v>
      </c>
      <c r="AC1168" s="125">
        <v>20</v>
      </c>
      <c r="AD1168" s="125">
        <f>F1168*0.0343100189035917</f>
        <v>0</v>
      </c>
      <c r="AE1168" s="125">
        <f>F1168*(1-0.0343100189035917)</f>
        <v>0</v>
      </c>
    </row>
    <row r="1169" spans="1:31" s="90" customFormat="1" ht="11.25">
      <c r="A1169" s="122" t="s">
        <v>889</v>
      </c>
      <c r="B1169" s="122" t="s">
        <v>1948</v>
      </c>
      <c r="C1169" s="122" t="s">
        <v>3222</v>
      </c>
      <c r="D1169" s="122" t="s">
        <v>3456</v>
      </c>
      <c r="E1169" s="123">
        <v>5</v>
      </c>
      <c r="F1169" s="123">
        <v>0</v>
      </c>
      <c r="G1169" s="123">
        <f t="shared" si="334"/>
        <v>0</v>
      </c>
      <c r="H1169" s="123">
        <f t="shared" si="335"/>
        <v>0</v>
      </c>
      <c r="I1169" s="123">
        <f t="shared" si="336"/>
        <v>0</v>
      </c>
      <c r="J1169" s="123">
        <v>0</v>
      </c>
      <c r="K1169" s="123">
        <f t="shared" si="337"/>
        <v>0</v>
      </c>
      <c r="M1169" s="124" t="s">
        <v>8</v>
      </c>
      <c r="N1169" s="123">
        <f t="shared" si="338"/>
        <v>0</v>
      </c>
      <c r="Y1169" s="123">
        <f t="shared" si="339"/>
        <v>0</v>
      </c>
      <c r="Z1169" s="123">
        <f t="shared" si="340"/>
        <v>0</v>
      </c>
      <c r="AA1169" s="123">
        <f t="shared" si="341"/>
        <v>0</v>
      </c>
      <c r="AC1169" s="125">
        <v>20</v>
      </c>
      <c r="AD1169" s="125">
        <f>F1169*0.050151766004415</f>
        <v>0</v>
      </c>
      <c r="AE1169" s="125">
        <f>F1169*(1-0.050151766004415)</f>
        <v>0</v>
      </c>
    </row>
    <row r="1170" spans="1:31" s="90" customFormat="1" ht="11.25">
      <c r="A1170" s="122" t="s">
        <v>890</v>
      </c>
      <c r="B1170" s="122" t="s">
        <v>1949</v>
      </c>
      <c r="C1170" s="122" t="s">
        <v>3223</v>
      </c>
      <c r="D1170" s="122" t="s">
        <v>3465</v>
      </c>
      <c r="E1170" s="123">
        <v>4</v>
      </c>
      <c r="F1170" s="123">
        <v>0</v>
      </c>
      <c r="G1170" s="123">
        <f t="shared" si="334"/>
        <v>0</v>
      </c>
      <c r="H1170" s="123">
        <f t="shared" si="335"/>
        <v>0</v>
      </c>
      <c r="I1170" s="123">
        <f t="shared" si="336"/>
        <v>0</v>
      </c>
      <c r="J1170" s="123">
        <v>0</v>
      </c>
      <c r="K1170" s="123">
        <f t="shared" si="337"/>
        <v>0</v>
      </c>
      <c r="M1170" s="124" t="s">
        <v>8</v>
      </c>
      <c r="N1170" s="123">
        <f t="shared" si="338"/>
        <v>0</v>
      </c>
      <c r="Y1170" s="123">
        <f t="shared" si="339"/>
        <v>0</v>
      </c>
      <c r="Z1170" s="123">
        <f t="shared" si="340"/>
        <v>0</v>
      </c>
      <c r="AA1170" s="123">
        <f t="shared" si="341"/>
        <v>0</v>
      </c>
      <c r="AC1170" s="125">
        <v>20</v>
      </c>
      <c r="AD1170" s="125">
        <f>F1170*0</f>
        <v>0</v>
      </c>
      <c r="AE1170" s="125">
        <f>F1170*(1-0)</f>
        <v>0</v>
      </c>
    </row>
    <row r="1171" spans="1:31" s="90" customFormat="1" ht="11.25">
      <c r="A1171" s="122" t="s">
        <v>891</v>
      </c>
      <c r="B1171" s="122" t="s">
        <v>1950</v>
      </c>
      <c r="C1171" s="122" t="s">
        <v>3224</v>
      </c>
      <c r="D1171" s="122" t="s">
        <v>3465</v>
      </c>
      <c r="E1171" s="123">
        <v>20</v>
      </c>
      <c r="F1171" s="123">
        <v>0</v>
      </c>
      <c r="G1171" s="123">
        <f t="shared" si="334"/>
        <v>0</v>
      </c>
      <c r="H1171" s="123">
        <f t="shared" si="335"/>
        <v>0</v>
      </c>
      <c r="I1171" s="123">
        <f t="shared" si="336"/>
        <v>0</v>
      </c>
      <c r="J1171" s="123">
        <v>0</v>
      </c>
      <c r="K1171" s="123">
        <f t="shared" si="337"/>
        <v>0</v>
      </c>
      <c r="M1171" s="124" t="s">
        <v>8</v>
      </c>
      <c r="N1171" s="123">
        <f t="shared" si="338"/>
        <v>0</v>
      </c>
      <c r="Y1171" s="123">
        <f t="shared" si="339"/>
        <v>0</v>
      </c>
      <c r="Z1171" s="123">
        <f t="shared" si="340"/>
        <v>0</v>
      </c>
      <c r="AA1171" s="123">
        <f t="shared" si="341"/>
        <v>0</v>
      </c>
      <c r="AC1171" s="125">
        <v>20</v>
      </c>
      <c r="AD1171" s="125">
        <f>F1171*0</f>
        <v>0</v>
      </c>
      <c r="AE1171" s="125">
        <f>F1171*(1-0)</f>
        <v>0</v>
      </c>
    </row>
    <row r="1172" spans="1:31" s="90" customFormat="1" ht="11.25">
      <c r="A1172" s="131" t="s">
        <v>892</v>
      </c>
      <c r="B1172" s="131" t="s">
        <v>1951</v>
      </c>
      <c r="C1172" s="131" t="s">
        <v>3225</v>
      </c>
      <c r="D1172" s="131" t="s">
        <v>3456</v>
      </c>
      <c r="E1172" s="132">
        <v>2</v>
      </c>
      <c r="F1172" s="132">
        <v>0</v>
      </c>
      <c r="G1172" s="132">
        <f t="shared" si="334"/>
        <v>0</v>
      </c>
      <c r="H1172" s="132">
        <f t="shared" si="335"/>
        <v>0</v>
      </c>
      <c r="I1172" s="132">
        <f t="shared" si="336"/>
        <v>0</v>
      </c>
      <c r="J1172" s="132">
        <v>0.00036</v>
      </c>
      <c r="K1172" s="132">
        <f t="shared" si="337"/>
        <v>0.00072</v>
      </c>
      <c r="M1172" s="133" t="s">
        <v>1101</v>
      </c>
      <c r="N1172" s="132">
        <f t="shared" si="338"/>
        <v>0</v>
      </c>
      <c r="Y1172" s="132">
        <f t="shared" si="339"/>
        <v>0</v>
      </c>
      <c r="Z1172" s="132">
        <f t="shared" si="340"/>
        <v>0</v>
      </c>
      <c r="AA1172" s="132">
        <f t="shared" si="341"/>
        <v>0</v>
      </c>
      <c r="AC1172" s="125">
        <v>20</v>
      </c>
      <c r="AD1172" s="125">
        <f aca="true" t="shared" si="344" ref="AD1172:AD1195">F1172*1</f>
        <v>0</v>
      </c>
      <c r="AE1172" s="125">
        <f aca="true" t="shared" si="345" ref="AE1172:AE1195">F1172*(1-1)</f>
        <v>0</v>
      </c>
    </row>
    <row r="1173" spans="1:31" s="90" customFormat="1" ht="11.25">
      <c r="A1173" s="131" t="s">
        <v>893</v>
      </c>
      <c r="B1173" s="131" t="s">
        <v>1952</v>
      </c>
      <c r="C1173" s="131" t="s">
        <v>3226</v>
      </c>
      <c r="D1173" s="131" t="s">
        <v>3456</v>
      </c>
      <c r="E1173" s="132">
        <v>190</v>
      </c>
      <c r="F1173" s="132">
        <v>0</v>
      </c>
      <c r="G1173" s="132">
        <f t="shared" si="334"/>
        <v>0</v>
      </c>
      <c r="H1173" s="132">
        <f t="shared" si="335"/>
        <v>0</v>
      </c>
      <c r="I1173" s="132">
        <f t="shared" si="336"/>
        <v>0</v>
      </c>
      <c r="J1173" s="132">
        <v>2E-05</v>
      </c>
      <c r="K1173" s="132">
        <f t="shared" si="337"/>
        <v>0.0038000000000000004</v>
      </c>
      <c r="M1173" s="133" t="s">
        <v>1101</v>
      </c>
      <c r="N1173" s="132">
        <f t="shared" si="338"/>
        <v>0</v>
      </c>
      <c r="Y1173" s="132">
        <f t="shared" si="339"/>
        <v>0</v>
      </c>
      <c r="Z1173" s="132">
        <f t="shared" si="340"/>
        <v>0</v>
      </c>
      <c r="AA1173" s="132">
        <f t="shared" si="341"/>
        <v>0</v>
      </c>
      <c r="AC1173" s="125">
        <v>20</v>
      </c>
      <c r="AD1173" s="125">
        <f t="shared" si="344"/>
        <v>0</v>
      </c>
      <c r="AE1173" s="125">
        <f t="shared" si="345"/>
        <v>0</v>
      </c>
    </row>
    <row r="1174" spans="1:31" s="90" customFormat="1" ht="11.25">
      <c r="A1174" s="131" t="s">
        <v>894</v>
      </c>
      <c r="B1174" s="131" t="s">
        <v>1953</v>
      </c>
      <c r="C1174" s="131" t="s">
        <v>3227</v>
      </c>
      <c r="D1174" s="131" t="s">
        <v>3456</v>
      </c>
      <c r="E1174" s="132">
        <v>250</v>
      </c>
      <c r="F1174" s="132">
        <v>0</v>
      </c>
      <c r="G1174" s="132">
        <f t="shared" si="334"/>
        <v>0</v>
      </c>
      <c r="H1174" s="132">
        <f t="shared" si="335"/>
        <v>0</v>
      </c>
      <c r="I1174" s="132">
        <f t="shared" si="336"/>
        <v>0</v>
      </c>
      <c r="J1174" s="132">
        <v>2E-05</v>
      </c>
      <c r="K1174" s="132">
        <f t="shared" si="337"/>
        <v>0.005</v>
      </c>
      <c r="M1174" s="133" t="s">
        <v>1101</v>
      </c>
      <c r="N1174" s="132">
        <f t="shared" si="338"/>
        <v>0</v>
      </c>
      <c r="Y1174" s="132">
        <f t="shared" si="339"/>
        <v>0</v>
      </c>
      <c r="Z1174" s="132">
        <f t="shared" si="340"/>
        <v>0</v>
      </c>
      <c r="AA1174" s="132">
        <f t="shared" si="341"/>
        <v>0</v>
      </c>
      <c r="AC1174" s="125">
        <v>20</v>
      </c>
      <c r="AD1174" s="125">
        <f t="shared" si="344"/>
        <v>0</v>
      </c>
      <c r="AE1174" s="125">
        <f t="shared" si="345"/>
        <v>0</v>
      </c>
    </row>
    <row r="1175" spans="1:31" s="90" customFormat="1" ht="11.25">
      <c r="A1175" s="131" t="s">
        <v>895</v>
      </c>
      <c r="B1175" s="131" t="s">
        <v>1954</v>
      </c>
      <c r="C1175" s="131" t="s">
        <v>3228</v>
      </c>
      <c r="D1175" s="131" t="s">
        <v>3456</v>
      </c>
      <c r="E1175" s="132">
        <v>50</v>
      </c>
      <c r="F1175" s="132">
        <v>0</v>
      </c>
      <c r="G1175" s="132">
        <f t="shared" si="334"/>
        <v>0</v>
      </c>
      <c r="H1175" s="132">
        <f t="shared" si="335"/>
        <v>0</v>
      </c>
      <c r="I1175" s="132">
        <f t="shared" si="336"/>
        <v>0</v>
      </c>
      <c r="J1175" s="132">
        <v>0</v>
      </c>
      <c r="K1175" s="132">
        <f t="shared" si="337"/>
        <v>0</v>
      </c>
      <c r="M1175" s="133" t="s">
        <v>1101</v>
      </c>
      <c r="N1175" s="132">
        <f t="shared" si="338"/>
        <v>0</v>
      </c>
      <c r="Y1175" s="132">
        <f t="shared" si="339"/>
        <v>0</v>
      </c>
      <c r="Z1175" s="132">
        <f t="shared" si="340"/>
        <v>0</v>
      </c>
      <c r="AA1175" s="132">
        <f t="shared" si="341"/>
        <v>0</v>
      </c>
      <c r="AC1175" s="125">
        <v>20</v>
      </c>
      <c r="AD1175" s="125">
        <f t="shared" si="344"/>
        <v>0</v>
      </c>
      <c r="AE1175" s="125">
        <f t="shared" si="345"/>
        <v>0</v>
      </c>
    </row>
    <row r="1176" spans="1:31" s="90" customFormat="1" ht="11.25">
      <c r="A1176" s="131" t="s">
        <v>896</v>
      </c>
      <c r="B1176" s="131" t="s">
        <v>1955</v>
      </c>
      <c r="C1176" s="131" t="s">
        <v>3229</v>
      </c>
      <c r="D1176" s="131" t="s">
        <v>3456</v>
      </c>
      <c r="E1176" s="132">
        <v>80</v>
      </c>
      <c r="F1176" s="132">
        <v>0</v>
      </c>
      <c r="G1176" s="132">
        <f t="shared" si="334"/>
        <v>0</v>
      </c>
      <c r="H1176" s="132">
        <f t="shared" si="335"/>
        <v>0</v>
      </c>
      <c r="I1176" s="132">
        <f t="shared" si="336"/>
        <v>0</v>
      </c>
      <c r="J1176" s="132">
        <v>0</v>
      </c>
      <c r="K1176" s="132">
        <f t="shared" si="337"/>
        <v>0</v>
      </c>
      <c r="M1176" s="133" t="s">
        <v>1101</v>
      </c>
      <c r="N1176" s="132">
        <f t="shared" si="338"/>
        <v>0</v>
      </c>
      <c r="Y1176" s="132">
        <f t="shared" si="339"/>
        <v>0</v>
      </c>
      <c r="Z1176" s="132">
        <f t="shared" si="340"/>
        <v>0</v>
      </c>
      <c r="AA1176" s="132">
        <f t="shared" si="341"/>
        <v>0</v>
      </c>
      <c r="AC1176" s="125">
        <v>20</v>
      </c>
      <c r="AD1176" s="125">
        <f t="shared" si="344"/>
        <v>0</v>
      </c>
      <c r="AE1176" s="125">
        <f t="shared" si="345"/>
        <v>0</v>
      </c>
    </row>
    <row r="1177" spans="1:31" s="90" customFormat="1" ht="11.25">
      <c r="A1177" s="131" t="s">
        <v>897</v>
      </c>
      <c r="B1177" s="131" t="s">
        <v>1956</v>
      </c>
      <c r="C1177" s="131" t="s">
        <v>3230</v>
      </c>
      <c r="D1177" s="131" t="s">
        <v>3456</v>
      </c>
      <c r="E1177" s="132">
        <v>27</v>
      </c>
      <c r="F1177" s="132">
        <v>0</v>
      </c>
      <c r="G1177" s="132">
        <f t="shared" si="334"/>
        <v>0</v>
      </c>
      <c r="H1177" s="132">
        <f t="shared" si="335"/>
        <v>0</v>
      </c>
      <c r="I1177" s="132">
        <f t="shared" si="336"/>
        <v>0</v>
      </c>
      <c r="J1177" s="132">
        <v>0</v>
      </c>
      <c r="K1177" s="132">
        <f t="shared" si="337"/>
        <v>0</v>
      </c>
      <c r="M1177" s="133" t="s">
        <v>1101</v>
      </c>
      <c r="N1177" s="132">
        <f t="shared" si="338"/>
        <v>0</v>
      </c>
      <c r="Y1177" s="132">
        <f t="shared" si="339"/>
        <v>0</v>
      </c>
      <c r="Z1177" s="132">
        <f t="shared" si="340"/>
        <v>0</v>
      </c>
      <c r="AA1177" s="132">
        <f t="shared" si="341"/>
        <v>0</v>
      </c>
      <c r="AC1177" s="125">
        <v>20</v>
      </c>
      <c r="AD1177" s="125">
        <f t="shared" si="344"/>
        <v>0</v>
      </c>
      <c r="AE1177" s="125">
        <f t="shared" si="345"/>
        <v>0</v>
      </c>
    </row>
    <row r="1178" spans="1:31" s="90" customFormat="1" ht="11.25">
      <c r="A1178" s="131" t="s">
        <v>898</v>
      </c>
      <c r="B1178" s="131" t="s">
        <v>1957</v>
      </c>
      <c r="C1178" s="131" t="s">
        <v>3231</v>
      </c>
      <c r="D1178" s="131" t="s">
        <v>3456</v>
      </c>
      <c r="E1178" s="132">
        <v>1</v>
      </c>
      <c r="F1178" s="132">
        <v>0</v>
      </c>
      <c r="G1178" s="132">
        <f t="shared" si="334"/>
        <v>0</v>
      </c>
      <c r="H1178" s="132">
        <f t="shared" si="335"/>
        <v>0</v>
      </c>
      <c r="I1178" s="132">
        <f t="shared" si="336"/>
        <v>0</v>
      </c>
      <c r="J1178" s="132">
        <v>0</v>
      </c>
      <c r="K1178" s="132">
        <f t="shared" si="337"/>
        <v>0</v>
      </c>
      <c r="M1178" s="133" t="s">
        <v>1101</v>
      </c>
      <c r="N1178" s="132">
        <f t="shared" si="338"/>
        <v>0</v>
      </c>
      <c r="Y1178" s="132">
        <f t="shared" si="339"/>
        <v>0</v>
      </c>
      <c r="Z1178" s="132">
        <f t="shared" si="340"/>
        <v>0</v>
      </c>
      <c r="AA1178" s="132">
        <f t="shared" si="341"/>
        <v>0</v>
      </c>
      <c r="AC1178" s="125">
        <v>20</v>
      </c>
      <c r="AD1178" s="125">
        <f t="shared" si="344"/>
        <v>0</v>
      </c>
      <c r="AE1178" s="125">
        <f t="shared" si="345"/>
        <v>0</v>
      </c>
    </row>
    <row r="1179" spans="1:31" s="90" customFormat="1" ht="11.25">
      <c r="A1179" s="131" t="s">
        <v>899</v>
      </c>
      <c r="B1179" s="131" t="s">
        <v>1958</v>
      </c>
      <c r="C1179" s="131" t="s">
        <v>3232</v>
      </c>
      <c r="D1179" s="131" t="s">
        <v>3456</v>
      </c>
      <c r="E1179" s="132">
        <v>1</v>
      </c>
      <c r="F1179" s="132">
        <v>0</v>
      </c>
      <c r="G1179" s="132">
        <f t="shared" si="334"/>
        <v>0</v>
      </c>
      <c r="H1179" s="132">
        <f t="shared" si="335"/>
        <v>0</v>
      </c>
      <c r="I1179" s="132">
        <f t="shared" si="336"/>
        <v>0</v>
      </c>
      <c r="J1179" s="132">
        <v>0</v>
      </c>
      <c r="K1179" s="132">
        <f t="shared" si="337"/>
        <v>0</v>
      </c>
      <c r="M1179" s="133" t="s">
        <v>1101</v>
      </c>
      <c r="N1179" s="132">
        <f t="shared" si="338"/>
        <v>0</v>
      </c>
      <c r="Y1179" s="132">
        <f t="shared" si="339"/>
        <v>0</v>
      </c>
      <c r="Z1179" s="132">
        <f t="shared" si="340"/>
        <v>0</v>
      </c>
      <c r="AA1179" s="132">
        <f t="shared" si="341"/>
        <v>0</v>
      </c>
      <c r="AC1179" s="125">
        <v>20</v>
      </c>
      <c r="AD1179" s="125">
        <f t="shared" si="344"/>
        <v>0</v>
      </c>
      <c r="AE1179" s="125">
        <f t="shared" si="345"/>
        <v>0</v>
      </c>
    </row>
    <row r="1180" spans="1:31" s="90" customFormat="1" ht="11.25">
      <c r="A1180" s="131" t="s">
        <v>900</v>
      </c>
      <c r="B1180" s="131" t="s">
        <v>1959</v>
      </c>
      <c r="C1180" s="131" t="s">
        <v>3233</v>
      </c>
      <c r="D1180" s="131" t="s">
        <v>3455</v>
      </c>
      <c r="E1180" s="132">
        <v>20</v>
      </c>
      <c r="F1180" s="132">
        <v>0</v>
      </c>
      <c r="G1180" s="132">
        <f t="shared" si="334"/>
        <v>0</v>
      </c>
      <c r="H1180" s="132">
        <f t="shared" si="335"/>
        <v>0</v>
      </c>
      <c r="I1180" s="132">
        <f t="shared" si="336"/>
        <v>0</v>
      </c>
      <c r="J1180" s="132">
        <v>0</v>
      </c>
      <c r="K1180" s="132">
        <f t="shared" si="337"/>
        <v>0</v>
      </c>
      <c r="M1180" s="133" t="s">
        <v>1101</v>
      </c>
      <c r="N1180" s="132">
        <f t="shared" si="338"/>
        <v>0</v>
      </c>
      <c r="Y1180" s="132">
        <f t="shared" si="339"/>
        <v>0</v>
      </c>
      <c r="Z1180" s="132">
        <f t="shared" si="340"/>
        <v>0</v>
      </c>
      <c r="AA1180" s="132">
        <f t="shared" si="341"/>
        <v>0</v>
      </c>
      <c r="AC1180" s="125">
        <v>20</v>
      </c>
      <c r="AD1180" s="125">
        <f t="shared" si="344"/>
        <v>0</v>
      </c>
      <c r="AE1180" s="125">
        <f t="shared" si="345"/>
        <v>0</v>
      </c>
    </row>
    <row r="1181" spans="1:31" s="90" customFormat="1" ht="11.25">
      <c r="A1181" s="131" t="s">
        <v>901</v>
      </c>
      <c r="B1181" s="131" t="s">
        <v>1960</v>
      </c>
      <c r="C1181" s="131" t="s">
        <v>3234</v>
      </c>
      <c r="D1181" s="131" t="s">
        <v>3455</v>
      </c>
      <c r="E1181" s="132">
        <v>70</v>
      </c>
      <c r="F1181" s="132">
        <v>0</v>
      </c>
      <c r="G1181" s="132">
        <f t="shared" si="334"/>
        <v>0</v>
      </c>
      <c r="H1181" s="132">
        <f t="shared" si="335"/>
        <v>0</v>
      </c>
      <c r="I1181" s="132">
        <f t="shared" si="336"/>
        <v>0</v>
      </c>
      <c r="J1181" s="132">
        <v>7E-05</v>
      </c>
      <c r="K1181" s="132">
        <f t="shared" si="337"/>
        <v>0.0049</v>
      </c>
      <c r="M1181" s="133" t="s">
        <v>1101</v>
      </c>
      <c r="N1181" s="132">
        <f t="shared" si="338"/>
        <v>0</v>
      </c>
      <c r="Y1181" s="132">
        <f t="shared" si="339"/>
        <v>0</v>
      </c>
      <c r="Z1181" s="132">
        <f t="shared" si="340"/>
        <v>0</v>
      </c>
      <c r="AA1181" s="132">
        <f t="shared" si="341"/>
        <v>0</v>
      </c>
      <c r="AC1181" s="125">
        <v>20</v>
      </c>
      <c r="AD1181" s="125">
        <f t="shared" si="344"/>
        <v>0</v>
      </c>
      <c r="AE1181" s="125">
        <f t="shared" si="345"/>
        <v>0</v>
      </c>
    </row>
    <row r="1182" spans="1:31" s="90" customFormat="1" ht="11.25">
      <c r="A1182" s="131" t="s">
        <v>902</v>
      </c>
      <c r="B1182" s="131" t="s">
        <v>1961</v>
      </c>
      <c r="C1182" s="131" t="s">
        <v>3235</v>
      </c>
      <c r="D1182" s="131" t="s">
        <v>3456</v>
      </c>
      <c r="E1182" s="132">
        <v>48</v>
      </c>
      <c r="F1182" s="132">
        <v>0</v>
      </c>
      <c r="G1182" s="132">
        <f t="shared" si="334"/>
        <v>0</v>
      </c>
      <c r="H1182" s="132">
        <f t="shared" si="335"/>
        <v>0</v>
      </c>
      <c r="I1182" s="132">
        <f t="shared" si="336"/>
        <v>0</v>
      </c>
      <c r="J1182" s="132">
        <v>0.0001</v>
      </c>
      <c r="K1182" s="132">
        <f t="shared" si="337"/>
        <v>0.0048000000000000004</v>
      </c>
      <c r="M1182" s="133" t="s">
        <v>1101</v>
      </c>
      <c r="N1182" s="132">
        <f t="shared" si="338"/>
        <v>0</v>
      </c>
      <c r="Y1182" s="132">
        <f t="shared" si="339"/>
        <v>0</v>
      </c>
      <c r="Z1182" s="132">
        <f t="shared" si="340"/>
        <v>0</v>
      </c>
      <c r="AA1182" s="132">
        <f t="shared" si="341"/>
        <v>0</v>
      </c>
      <c r="AC1182" s="125">
        <v>20</v>
      </c>
      <c r="AD1182" s="125">
        <f t="shared" si="344"/>
        <v>0</v>
      </c>
      <c r="AE1182" s="125">
        <f t="shared" si="345"/>
        <v>0</v>
      </c>
    </row>
    <row r="1183" spans="1:31" s="90" customFormat="1" ht="11.25">
      <c r="A1183" s="131" t="s">
        <v>903</v>
      </c>
      <c r="B1183" s="131" t="s">
        <v>1962</v>
      </c>
      <c r="C1183" s="131" t="s">
        <v>3236</v>
      </c>
      <c r="D1183" s="131" t="s">
        <v>3456</v>
      </c>
      <c r="E1183" s="132">
        <v>48</v>
      </c>
      <c r="F1183" s="132">
        <v>0</v>
      </c>
      <c r="G1183" s="132">
        <f t="shared" si="334"/>
        <v>0</v>
      </c>
      <c r="H1183" s="132">
        <f t="shared" si="335"/>
        <v>0</v>
      </c>
      <c r="I1183" s="132">
        <f t="shared" si="336"/>
        <v>0</v>
      </c>
      <c r="J1183" s="132">
        <v>5E-05</v>
      </c>
      <c r="K1183" s="132">
        <f t="shared" si="337"/>
        <v>0.0024000000000000002</v>
      </c>
      <c r="M1183" s="133" t="s">
        <v>1101</v>
      </c>
      <c r="N1183" s="132">
        <f t="shared" si="338"/>
        <v>0</v>
      </c>
      <c r="Y1183" s="132">
        <f t="shared" si="339"/>
        <v>0</v>
      </c>
      <c r="Z1183" s="132">
        <f t="shared" si="340"/>
        <v>0</v>
      </c>
      <c r="AA1183" s="132">
        <f t="shared" si="341"/>
        <v>0</v>
      </c>
      <c r="AC1183" s="125">
        <v>20</v>
      </c>
      <c r="AD1183" s="125">
        <f t="shared" si="344"/>
        <v>0</v>
      </c>
      <c r="AE1183" s="125">
        <f t="shared" si="345"/>
        <v>0</v>
      </c>
    </row>
    <row r="1184" spans="1:31" s="90" customFormat="1" ht="11.25">
      <c r="A1184" s="131" t="s">
        <v>904</v>
      </c>
      <c r="B1184" s="131" t="s">
        <v>1963</v>
      </c>
      <c r="C1184" s="131" t="s">
        <v>3237</v>
      </c>
      <c r="D1184" s="131" t="s">
        <v>3456</v>
      </c>
      <c r="E1184" s="132">
        <v>80</v>
      </c>
      <c r="F1184" s="132">
        <v>0</v>
      </c>
      <c r="G1184" s="132">
        <f t="shared" si="334"/>
        <v>0</v>
      </c>
      <c r="H1184" s="132">
        <f t="shared" si="335"/>
        <v>0</v>
      </c>
      <c r="I1184" s="132">
        <f t="shared" si="336"/>
        <v>0</v>
      </c>
      <c r="J1184" s="132">
        <v>2E-05</v>
      </c>
      <c r="K1184" s="132">
        <f t="shared" si="337"/>
        <v>0.0016</v>
      </c>
      <c r="M1184" s="133" t="s">
        <v>1101</v>
      </c>
      <c r="N1184" s="132">
        <f t="shared" si="338"/>
        <v>0</v>
      </c>
      <c r="Y1184" s="132">
        <f t="shared" si="339"/>
        <v>0</v>
      </c>
      <c r="Z1184" s="132">
        <f t="shared" si="340"/>
        <v>0</v>
      </c>
      <c r="AA1184" s="132">
        <f t="shared" si="341"/>
        <v>0</v>
      </c>
      <c r="AC1184" s="125">
        <v>20</v>
      </c>
      <c r="AD1184" s="125">
        <f t="shared" si="344"/>
        <v>0</v>
      </c>
      <c r="AE1184" s="125">
        <f t="shared" si="345"/>
        <v>0</v>
      </c>
    </row>
    <row r="1185" spans="1:31" s="90" customFormat="1" ht="11.25">
      <c r="A1185" s="131" t="s">
        <v>905</v>
      </c>
      <c r="B1185" s="131" t="s">
        <v>1964</v>
      </c>
      <c r="C1185" s="131" t="s">
        <v>3238</v>
      </c>
      <c r="D1185" s="131" t="s">
        <v>3456</v>
      </c>
      <c r="E1185" s="132">
        <v>7</v>
      </c>
      <c r="F1185" s="132">
        <v>0</v>
      </c>
      <c r="G1185" s="132">
        <f t="shared" si="334"/>
        <v>0</v>
      </c>
      <c r="H1185" s="132">
        <f t="shared" si="335"/>
        <v>0</v>
      </c>
      <c r="I1185" s="132">
        <f t="shared" si="336"/>
        <v>0</v>
      </c>
      <c r="J1185" s="132">
        <v>0.00022</v>
      </c>
      <c r="K1185" s="132">
        <f t="shared" si="337"/>
        <v>0.0015400000000000001</v>
      </c>
      <c r="M1185" s="133" t="s">
        <v>1101</v>
      </c>
      <c r="N1185" s="132">
        <f t="shared" si="338"/>
        <v>0</v>
      </c>
      <c r="Y1185" s="132">
        <f t="shared" si="339"/>
        <v>0</v>
      </c>
      <c r="Z1185" s="132">
        <f t="shared" si="340"/>
        <v>0</v>
      </c>
      <c r="AA1185" s="132">
        <f t="shared" si="341"/>
        <v>0</v>
      </c>
      <c r="AC1185" s="125">
        <v>20</v>
      </c>
      <c r="AD1185" s="125">
        <f t="shared" si="344"/>
        <v>0</v>
      </c>
      <c r="AE1185" s="125">
        <f t="shared" si="345"/>
        <v>0</v>
      </c>
    </row>
    <row r="1186" spans="1:31" s="90" customFormat="1" ht="11.25">
      <c r="A1186" s="131" t="s">
        <v>906</v>
      </c>
      <c r="B1186" s="131" t="s">
        <v>1965</v>
      </c>
      <c r="C1186" s="131" t="s">
        <v>3239</v>
      </c>
      <c r="D1186" s="131" t="s">
        <v>3456</v>
      </c>
      <c r="E1186" s="132">
        <v>1</v>
      </c>
      <c r="F1186" s="132">
        <v>0</v>
      </c>
      <c r="G1186" s="132">
        <f t="shared" si="334"/>
        <v>0</v>
      </c>
      <c r="H1186" s="132">
        <f t="shared" si="335"/>
        <v>0</v>
      </c>
      <c r="I1186" s="132">
        <f t="shared" si="336"/>
        <v>0</v>
      </c>
      <c r="J1186" s="132">
        <v>0.00063</v>
      </c>
      <c r="K1186" s="132">
        <f t="shared" si="337"/>
        <v>0.00063</v>
      </c>
      <c r="M1186" s="133" t="s">
        <v>1101</v>
      </c>
      <c r="N1186" s="132">
        <f t="shared" si="338"/>
        <v>0</v>
      </c>
      <c r="Y1186" s="132">
        <f t="shared" si="339"/>
        <v>0</v>
      </c>
      <c r="Z1186" s="132">
        <f t="shared" si="340"/>
        <v>0</v>
      </c>
      <c r="AA1186" s="132">
        <f t="shared" si="341"/>
        <v>0</v>
      </c>
      <c r="AC1186" s="125">
        <v>20</v>
      </c>
      <c r="AD1186" s="125">
        <f t="shared" si="344"/>
        <v>0</v>
      </c>
      <c r="AE1186" s="125">
        <f t="shared" si="345"/>
        <v>0</v>
      </c>
    </row>
    <row r="1187" spans="1:31" s="90" customFormat="1" ht="11.25">
      <c r="A1187" s="131" t="s">
        <v>907</v>
      </c>
      <c r="B1187" s="131" t="s">
        <v>1966</v>
      </c>
      <c r="C1187" s="131" t="s">
        <v>3240</v>
      </c>
      <c r="D1187" s="131" t="s">
        <v>3456</v>
      </c>
      <c r="E1187" s="132">
        <v>18</v>
      </c>
      <c r="F1187" s="132">
        <v>0</v>
      </c>
      <c r="G1187" s="132">
        <f t="shared" si="334"/>
        <v>0</v>
      </c>
      <c r="H1187" s="132">
        <f t="shared" si="335"/>
        <v>0</v>
      </c>
      <c r="I1187" s="132">
        <f t="shared" si="336"/>
        <v>0</v>
      </c>
      <c r="J1187" s="132">
        <v>3E-05</v>
      </c>
      <c r="K1187" s="132">
        <f t="shared" si="337"/>
        <v>0.00054</v>
      </c>
      <c r="M1187" s="133" t="s">
        <v>1101</v>
      </c>
      <c r="N1187" s="132">
        <f t="shared" si="338"/>
        <v>0</v>
      </c>
      <c r="Y1187" s="132">
        <f t="shared" si="339"/>
        <v>0</v>
      </c>
      <c r="Z1187" s="132">
        <f t="shared" si="340"/>
        <v>0</v>
      </c>
      <c r="AA1187" s="132">
        <f t="shared" si="341"/>
        <v>0</v>
      </c>
      <c r="AC1187" s="125">
        <v>20</v>
      </c>
      <c r="AD1187" s="125">
        <f t="shared" si="344"/>
        <v>0</v>
      </c>
      <c r="AE1187" s="125">
        <f t="shared" si="345"/>
        <v>0</v>
      </c>
    </row>
    <row r="1188" spans="1:31" s="90" customFormat="1" ht="11.25">
      <c r="A1188" s="131" t="s">
        <v>908</v>
      </c>
      <c r="B1188" s="131" t="s">
        <v>1967</v>
      </c>
      <c r="C1188" s="131" t="s">
        <v>3241</v>
      </c>
      <c r="D1188" s="131" t="s">
        <v>3456</v>
      </c>
      <c r="E1188" s="132">
        <v>2</v>
      </c>
      <c r="F1188" s="132">
        <v>0</v>
      </c>
      <c r="G1188" s="132">
        <f t="shared" si="334"/>
        <v>0</v>
      </c>
      <c r="H1188" s="132">
        <f t="shared" si="335"/>
        <v>0</v>
      </c>
      <c r="I1188" s="132">
        <f t="shared" si="336"/>
        <v>0</v>
      </c>
      <c r="J1188" s="132">
        <v>0</v>
      </c>
      <c r="K1188" s="132">
        <f t="shared" si="337"/>
        <v>0</v>
      </c>
      <c r="M1188" s="133" t="s">
        <v>1101</v>
      </c>
      <c r="N1188" s="132">
        <f t="shared" si="338"/>
        <v>0</v>
      </c>
      <c r="Y1188" s="132">
        <f t="shared" si="339"/>
        <v>0</v>
      </c>
      <c r="Z1188" s="132">
        <f t="shared" si="340"/>
        <v>0</v>
      </c>
      <c r="AA1188" s="132">
        <f t="shared" si="341"/>
        <v>0</v>
      </c>
      <c r="AC1188" s="125">
        <v>20</v>
      </c>
      <c r="AD1188" s="125">
        <f t="shared" si="344"/>
        <v>0</v>
      </c>
      <c r="AE1188" s="125">
        <f t="shared" si="345"/>
        <v>0</v>
      </c>
    </row>
    <row r="1189" spans="1:31" s="90" customFormat="1" ht="11.25">
      <c r="A1189" s="131" t="s">
        <v>909</v>
      </c>
      <c r="B1189" s="131" t="s">
        <v>1968</v>
      </c>
      <c r="C1189" s="131" t="s">
        <v>3242</v>
      </c>
      <c r="D1189" s="131" t="s">
        <v>3456</v>
      </c>
      <c r="E1189" s="132">
        <v>1</v>
      </c>
      <c r="F1189" s="132">
        <v>0</v>
      </c>
      <c r="G1189" s="132">
        <f t="shared" si="334"/>
        <v>0</v>
      </c>
      <c r="H1189" s="132">
        <f t="shared" si="335"/>
        <v>0</v>
      </c>
      <c r="I1189" s="132">
        <f t="shared" si="336"/>
        <v>0</v>
      </c>
      <c r="J1189" s="132">
        <v>0.00426</v>
      </c>
      <c r="K1189" s="132">
        <f t="shared" si="337"/>
        <v>0.00426</v>
      </c>
      <c r="M1189" s="133" t="s">
        <v>1101</v>
      </c>
      <c r="N1189" s="132">
        <f t="shared" si="338"/>
        <v>0</v>
      </c>
      <c r="Y1189" s="132">
        <f t="shared" si="339"/>
        <v>0</v>
      </c>
      <c r="Z1189" s="132">
        <f t="shared" si="340"/>
        <v>0</v>
      </c>
      <c r="AA1189" s="132">
        <f t="shared" si="341"/>
        <v>0</v>
      </c>
      <c r="AC1189" s="125">
        <v>20</v>
      </c>
      <c r="AD1189" s="125">
        <f t="shared" si="344"/>
        <v>0</v>
      </c>
      <c r="AE1189" s="125">
        <f t="shared" si="345"/>
        <v>0</v>
      </c>
    </row>
    <row r="1190" spans="1:31" s="90" customFormat="1" ht="11.25">
      <c r="A1190" s="131" t="s">
        <v>910</v>
      </c>
      <c r="B1190" s="131" t="s">
        <v>1969</v>
      </c>
      <c r="C1190" s="131" t="s">
        <v>3243</v>
      </c>
      <c r="D1190" s="131" t="s">
        <v>3456</v>
      </c>
      <c r="E1190" s="132">
        <v>1</v>
      </c>
      <c r="F1190" s="132">
        <v>0</v>
      </c>
      <c r="G1190" s="132">
        <f aca="true" t="shared" si="346" ref="G1190:G1221">ROUND(E1190*AD1190,2)</f>
        <v>0</v>
      </c>
      <c r="H1190" s="132">
        <f aca="true" t="shared" si="347" ref="H1190:H1221">I1190-G1190</f>
        <v>0</v>
      </c>
      <c r="I1190" s="132">
        <f aca="true" t="shared" si="348" ref="I1190:I1221">ROUND(E1190*F1190,2)</f>
        <v>0</v>
      </c>
      <c r="J1190" s="132">
        <v>0</v>
      </c>
      <c r="K1190" s="132">
        <f aca="true" t="shared" si="349" ref="K1190:K1221">E1190*J1190</f>
        <v>0</v>
      </c>
      <c r="M1190" s="133" t="s">
        <v>1101</v>
      </c>
      <c r="N1190" s="132">
        <f aca="true" t="shared" si="350" ref="N1190:N1221">IF(M1190="5",H1190,0)</f>
        <v>0</v>
      </c>
      <c r="Y1190" s="132">
        <f aca="true" t="shared" si="351" ref="Y1190:Y1221">IF(AC1190=0,I1190,0)</f>
        <v>0</v>
      </c>
      <c r="Z1190" s="132">
        <f aca="true" t="shared" si="352" ref="Z1190:Z1221">IF(AC1190=14,I1190,0)</f>
        <v>0</v>
      </c>
      <c r="AA1190" s="132">
        <f aca="true" t="shared" si="353" ref="AA1190:AA1221">IF(AC1190=20,I1190,0)</f>
        <v>0</v>
      </c>
      <c r="AC1190" s="125">
        <v>20</v>
      </c>
      <c r="AD1190" s="125">
        <f t="shared" si="344"/>
        <v>0</v>
      </c>
      <c r="AE1190" s="125">
        <f t="shared" si="345"/>
        <v>0</v>
      </c>
    </row>
    <row r="1191" spans="1:31" s="90" customFormat="1" ht="11.25">
      <c r="A1191" s="131" t="s">
        <v>911</v>
      </c>
      <c r="B1191" s="131" t="s">
        <v>1880</v>
      </c>
      <c r="C1191" s="131" t="s">
        <v>3244</v>
      </c>
      <c r="D1191" s="131" t="s">
        <v>3456</v>
      </c>
      <c r="E1191" s="132">
        <v>2</v>
      </c>
      <c r="F1191" s="132">
        <v>0</v>
      </c>
      <c r="G1191" s="132">
        <f t="shared" si="346"/>
        <v>0</v>
      </c>
      <c r="H1191" s="132">
        <f t="shared" si="347"/>
        <v>0</v>
      </c>
      <c r="I1191" s="132">
        <f t="shared" si="348"/>
        <v>0</v>
      </c>
      <c r="J1191" s="132">
        <v>0.088</v>
      </c>
      <c r="K1191" s="132">
        <f t="shared" si="349"/>
        <v>0.176</v>
      </c>
      <c r="M1191" s="133" t="s">
        <v>1101</v>
      </c>
      <c r="N1191" s="132">
        <f t="shared" si="350"/>
        <v>0</v>
      </c>
      <c r="Y1191" s="132">
        <f t="shared" si="351"/>
        <v>0</v>
      </c>
      <c r="Z1191" s="132">
        <f t="shared" si="352"/>
        <v>0</v>
      </c>
      <c r="AA1191" s="132">
        <f t="shared" si="353"/>
        <v>0</v>
      </c>
      <c r="AC1191" s="125">
        <v>20</v>
      </c>
      <c r="AD1191" s="125">
        <f t="shared" si="344"/>
        <v>0</v>
      </c>
      <c r="AE1191" s="125">
        <f t="shared" si="345"/>
        <v>0</v>
      </c>
    </row>
    <row r="1192" spans="1:31" s="90" customFormat="1" ht="11.25">
      <c r="A1192" s="131" t="s">
        <v>912</v>
      </c>
      <c r="B1192" s="131" t="s">
        <v>1970</v>
      </c>
      <c r="C1192" s="131" t="s">
        <v>3245</v>
      </c>
      <c r="D1192" s="131" t="s">
        <v>3456</v>
      </c>
      <c r="E1192" s="132">
        <v>1</v>
      </c>
      <c r="F1192" s="132">
        <v>0</v>
      </c>
      <c r="G1192" s="132">
        <f t="shared" si="346"/>
        <v>0</v>
      </c>
      <c r="H1192" s="132">
        <f t="shared" si="347"/>
        <v>0</v>
      </c>
      <c r="I1192" s="132">
        <f t="shared" si="348"/>
        <v>0</v>
      </c>
      <c r="J1192" s="132">
        <v>0.096</v>
      </c>
      <c r="K1192" s="132">
        <f t="shared" si="349"/>
        <v>0.096</v>
      </c>
      <c r="M1192" s="133" t="s">
        <v>1101</v>
      </c>
      <c r="N1192" s="132">
        <f t="shared" si="350"/>
        <v>0</v>
      </c>
      <c r="Y1192" s="132">
        <f t="shared" si="351"/>
        <v>0</v>
      </c>
      <c r="Z1192" s="132">
        <f t="shared" si="352"/>
        <v>0</v>
      </c>
      <c r="AA1192" s="132">
        <f t="shared" si="353"/>
        <v>0</v>
      </c>
      <c r="AC1192" s="125">
        <v>20</v>
      </c>
      <c r="AD1192" s="125">
        <f t="shared" si="344"/>
        <v>0</v>
      </c>
      <c r="AE1192" s="125">
        <f t="shared" si="345"/>
        <v>0</v>
      </c>
    </row>
    <row r="1193" spans="1:31" s="90" customFormat="1" ht="11.25">
      <c r="A1193" s="131" t="s">
        <v>913</v>
      </c>
      <c r="B1193" s="131" t="s">
        <v>1971</v>
      </c>
      <c r="C1193" s="131" t="s">
        <v>3246</v>
      </c>
      <c r="D1193" s="131" t="s">
        <v>3456</v>
      </c>
      <c r="E1193" s="132">
        <v>2</v>
      </c>
      <c r="F1193" s="132">
        <v>0</v>
      </c>
      <c r="G1193" s="132">
        <f t="shared" si="346"/>
        <v>0</v>
      </c>
      <c r="H1193" s="132">
        <f t="shared" si="347"/>
        <v>0</v>
      </c>
      <c r="I1193" s="132">
        <f t="shared" si="348"/>
        <v>0</v>
      </c>
      <c r="J1193" s="132">
        <v>0.0178</v>
      </c>
      <c r="K1193" s="132">
        <f t="shared" si="349"/>
        <v>0.0356</v>
      </c>
      <c r="M1193" s="133" t="s">
        <v>1101</v>
      </c>
      <c r="N1193" s="132">
        <f t="shared" si="350"/>
        <v>0</v>
      </c>
      <c r="Y1193" s="132">
        <f t="shared" si="351"/>
        <v>0</v>
      </c>
      <c r="Z1193" s="132">
        <f t="shared" si="352"/>
        <v>0</v>
      </c>
      <c r="AA1193" s="132">
        <f t="shared" si="353"/>
        <v>0</v>
      </c>
      <c r="AC1193" s="125">
        <v>20</v>
      </c>
      <c r="AD1193" s="125">
        <f t="shared" si="344"/>
        <v>0</v>
      </c>
      <c r="AE1193" s="125">
        <f t="shared" si="345"/>
        <v>0</v>
      </c>
    </row>
    <row r="1194" spans="1:31" s="90" customFormat="1" ht="11.25">
      <c r="A1194" s="131" t="s">
        <v>914</v>
      </c>
      <c r="B1194" s="131" t="s">
        <v>1972</v>
      </c>
      <c r="C1194" s="131" t="s">
        <v>3247</v>
      </c>
      <c r="D1194" s="131" t="s">
        <v>3456</v>
      </c>
      <c r="E1194" s="132">
        <v>2</v>
      </c>
      <c r="F1194" s="132">
        <v>0</v>
      </c>
      <c r="G1194" s="132">
        <f t="shared" si="346"/>
        <v>0</v>
      </c>
      <c r="H1194" s="132">
        <f t="shared" si="347"/>
        <v>0</v>
      </c>
      <c r="I1194" s="132">
        <f t="shared" si="348"/>
        <v>0</v>
      </c>
      <c r="J1194" s="132">
        <v>0.00022</v>
      </c>
      <c r="K1194" s="132">
        <f t="shared" si="349"/>
        <v>0.00044</v>
      </c>
      <c r="M1194" s="133" t="s">
        <v>1101</v>
      </c>
      <c r="N1194" s="132">
        <f t="shared" si="350"/>
        <v>0</v>
      </c>
      <c r="Y1194" s="132">
        <f t="shared" si="351"/>
        <v>0</v>
      </c>
      <c r="Z1194" s="132">
        <f t="shared" si="352"/>
        <v>0</v>
      </c>
      <c r="AA1194" s="132">
        <f t="shared" si="353"/>
        <v>0</v>
      </c>
      <c r="AC1194" s="125">
        <v>20</v>
      </c>
      <c r="AD1194" s="125">
        <f t="shared" si="344"/>
        <v>0</v>
      </c>
      <c r="AE1194" s="125">
        <f t="shared" si="345"/>
        <v>0</v>
      </c>
    </row>
    <row r="1195" spans="1:31" s="90" customFormat="1" ht="11.25">
      <c r="A1195" s="131" t="s">
        <v>915</v>
      </c>
      <c r="B1195" s="131" t="s">
        <v>1973</v>
      </c>
      <c r="C1195" s="131" t="s">
        <v>3248</v>
      </c>
      <c r="D1195" s="131" t="s">
        <v>3456</v>
      </c>
      <c r="E1195" s="132">
        <v>10</v>
      </c>
      <c r="F1195" s="132">
        <v>0</v>
      </c>
      <c r="G1195" s="132">
        <f t="shared" si="346"/>
        <v>0</v>
      </c>
      <c r="H1195" s="132">
        <f t="shared" si="347"/>
        <v>0</v>
      </c>
      <c r="I1195" s="132">
        <f t="shared" si="348"/>
        <v>0</v>
      </c>
      <c r="J1195" s="132">
        <v>0.00026</v>
      </c>
      <c r="K1195" s="132">
        <f t="shared" si="349"/>
        <v>0.0026</v>
      </c>
      <c r="M1195" s="133" t="s">
        <v>1101</v>
      </c>
      <c r="N1195" s="132">
        <f t="shared" si="350"/>
        <v>0</v>
      </c>
      <c r="Y1195" s="132">
        <f t="shared" si="351"/>
        <v>0</v>
      </c>
      <c r="Z1195" s="132">
        <f t="shared" si="352"/>
        <v>0</v>
      </c>
      <c r="AA1195" s="132">
        <f t="shared" si="353"/>
        <v>0</v>
      </c>
      <c r="AC1195" s="125">
        <v>20</v>
      </c>
      <c r="AD1195" s="125">
        <f t="shared" si="344"/>
        <v>0</v>
      </c>
      <c r="AE1195" s="125">
        <f t="shared" si="345"/>
        <v>0</v>
      </c>
    </row>
    <row r="1196" spans="1:31" s="90" customFormat="1" ht="11.25">
      <c r="A1196" s="122" t="s">
        <v>916</v>
      </c>
      <c r="B1196" s="122" t="s">
        <v>1401</v>
      </c>
      <c r="C1196" s="122" t="s">
        <v>2544</v>
      </c>
      <c r="D1196" s="122" t="s">
        <v>3456</v>
      </c>
      <c r="E1196" s="123">
        <v>2</v>
      </c>
      <c r="F1196" s="123">
        <v>0</v>
      </c>
      <c r="G1196" s="123">
        <f t="shared" si="346"/>
        <v>0</v>
      </c>
      <c r="H1196" s="123">
        <f t="shared" si="347"/>
        <v>0</v>
      </c>
      <c r="I1196" s="123">
        <f t="shared" si="348"/>
        <v>0</v>
      </c>
      <c r="J1196" s="123">
        <v>0</v>
      </c>
      <c r="K1196" s="123">
        <f t="shared" si="349"/>
        <v>0</v>
      </c>
      <c r="M1196" s="124" t="s">
        <v>8</v>
      </c>
      <c r="N1196" s="123">
        <f t="shared" si="350"/>
        <v>0</v>
      </c>
      <c r="Y1196" s="123">
        <f t="shared" si="351"/>
        <v>0</v>
      </c>
      <c r="Z1196" s="123">
        <f t="shared" si="352"/>
        <v>0</v>
      </c>
      <c r="AA1196" s="123">
        <f t="shared" si="353"/>
        <v>0</v>
      </c>
      <c r="AC1196" s="125">
        <v>20</v>
      </c>
      <c r="AD1196" s="125">
        <f>F1196*0</f>
        <v>0</v>
      </c>
      <c r="AE1196" s="125">
        <f>F1196*(1-0)</f>
        <v>0</v>
      </c>
    </row>
    <row r="1197" spans="1:31" s="90" customFormat="1" ht="11.25">
      <c r="A1197" s="131" t="s">
        <v>917</v>
      </c>
      <c r="B1197" s="131" t="s">
        <v>1974</v>
      </c>
      <c r="C1197" s="131" t="s">
        <v>3249</v>
      </c>
      <c r="D1197" s="131" t="s">
        <v>3456</v>
      </c>
      <c r="E1197" s="132">
        <v>40</v>
      </c>
      <c r="F1197" s="132">
        <v>0</v>
      </c>
      <c r="G1197" s="132">
        <f t="shared" si="346"/>
        <v>0</v>
      </c>
      <c r="H1197" s="132">
        <f t="shared" si="347"/>
        <v>0</v>
      </c>
      <c r="I1197" s="132">
        <f t="shared" si="348"/>
        <v>0</v>
      </c>
      <c r="J1197" s="132">
        <v>0</v>
      </c>
      <c r="K1197" s="132">
        <f t="shared" si="349"/>
        <v>0</v>
      </c>
      <c r="M1197" s="133" t="s">
        <v>1101</v>
      </c>
      <c r="N1197" s="132">
        <f t="shared" si="350"/>
        <v>0</v>
      </c>
      <c r="Y1197" s="132">
        <f t="shared" si="351"/>
        <v>0</v>
      </c>
      <c r="Z1197" s="132">
        <f t="shared" si="352"/>
        <v>0</v>
      </c>
      <c r="AA1197" s="132">
        <f t="shared" si="353"/>
        <v>0</v>
      </c>
      <c r="AC1197" s="125">
        <v>20</v>
      </c>
      <c r="AD1197" s="125">
        <f aca="true" t="shared" si="354" ref="AD1197:AD1228">F1197*1</f>
        <v>0</v>
      </c>
      <c r="AE1197" s="125">
        <f aca="true" t="shared" si="355" ref="AE1197:AE1228">F1197*(1-1)</f>
        <v>0</v>
      </c>
    </row>
    <row r="1198" spans="1:31" s="90" customFormat="1" ht="11.25">
      <c r="A1198" s="131" t="s">
        <v>918</v>
      </c>
      <c r="B1198" s="131" t="s">
        <v>1975</v>
      </c>
      <c r="C1198" s="131" t="s">
        <v>3250</v>
      </c>
      <c r="D1198" s="131" t="s">
        <v>3456</v>
      </c>
      <c r="E1198" s="132">
        <v>2</v>
      </c>
      <c r="F1198" s="132">
        <v>0</v>
      </c>
      <c r="G1198" s="132">
        <f t="shared" si="346"/>
        <v>0</v>
      </c>
      <c r="H1198" s="132">
        <f t="shared" si="347"/>
        <v>0</v>
      </c>
      <c r="I1198" s="132">
        <f t="shared" si="348"/>
        <v>0</v>
      </c>
      <c r="J1198" s="132">
        <v>0</v>
      </c>
      <c r="K1198" s="132">
        <f t="shared" si="349"/>
        <v>0</v>
      </c>
      <c r="M1198" s="133" t="s">
        <v>1101</v>
      </c>
      <c r="N1198" s="132">
        <f t="shared" si="350"/>
        <v>0</v>
      </c>
      <c r="Y1198" s="132">
        <f t="shared" si="351"/>
        <v>0</v>
      </c>
      <c r="Z1198" s="132">
        <f t="shared" si="352"/>
        <v>0</v>
      </c>
      <c r="AA1198" s="132">
        <f t="shared" si="353"/>
        <v>0</v>
      </c>
      <c r="AC1198" s="125">
        <v>20</v>
      </c>
      <c r="AD1198" s="125">
        <f t="shared" si="354"/>
        <v>0</v>
      </c>
      <c r="AE1198" s="125">
        <f t="shared" si="355"/>
        <v>0</v>
      </c>
    </row>
    <row r="1199" spans="1:31" s="90" customFormat="1" ht="11.25">
      <c r="A1199" s="131" t="s">
        <v>919</v>
      </c>
      <c r="B1199" s="131" t="s">
        <v>1976</v>
      </c>
      <c r="C1199" s="131" t="s">
        <v>3251</v>
      </c>
      <c r="D1199" s="131" t="s">
        <v>3456</v>
      </c>
      <c r="E1199" s="132">
        <v>14</v>
      </c>
      <c r="F1199" s="132">
        <v>0</v>
      </c>
      <c r="G1199" s="132">
        <f t="shared" si="346"/>
        <v>0</v>
      </c>
      <c r="H1199" s="132">
        <f t="shared" si="347"/>
        <v>0</v>
      </c>
      <c r="I1199" s="132">
        <f t="shared" si="348"/>
        <v>0</v>
      </c>
      <c r="J1199" s="132">
        <v>0</v>
      </c>
      <c r="K1199" s="132">
        <f t="shared" si="349"/>
        <v>0</v>
      </c>
      <c r="M1199" s="133" t="s">
        <v>1101</v>
      </c>
      <c r="N1199" s="132">
        <f t="shared" si="350"/>
        <v>0</v>
      </c>
      <c r="Y1199" s="132">
        <f t="shared" si="351"/>
        <v>0</v>
      </c>
      <c r="Z1199" s="132">
        <f t="shared" si="352"/>
        <v>0</v>
      </c>
      <c r="AA1199" s="132">
        <f t="shared" si="353"/>
        <v>0</v>
      </c>
      <c r="AC1199" s="125">
        <v>20</v>
      </c>
      <c r="AD1199" s="125">
        <f t="shared" si="354"/>
        <v>0</v>
      </c>
      <c r="AE1199" s="125">
        <f t="shared" si="355"/>
        <v>0</v>
      </c>
    </row>
    <row r="1200" spans="1:31" s="90" customFormat="1" ht="11.25">
      <c r="A1200" s="131" t="s">
        <v>920</v>
      </c>
      <c r="B1200" s="131" t="s">
        <v>1977</v>
      </c>
      <c r="C1200" s="131" t="s">
        <v>3252</v>
      </c>
      <c r="D1200" s="131" t="s">
        <v>3456</v>
      </c>
      <c r="E1200" s="132">
        <v>3</v>
      </c>
      <c r="F1200" s="132">
        <v>0</v>
      </c>
      <c r="G1200" s="132">
        <f t="shared" si="346"/>
        <v>0</v>
      </c>
      <c r="H1200" s="132">
        <f t="shared" si="347"/>
        <v>0</v>
      </c>
      <c r="I1200" s="132">
        <f t="shared" si="348"/>
        <v>0</v>
      </c>
      <c r="J1200" s="132">
        <v>0</v>
      </c>
      <c r="K1200" s="132">
        <f t="shared" si="349"/>
        <v>0</v>
      </c>
      <c r="M1200" s="133" t="s">
        <v>1101</v>
      </c>
      <c r="N1200" s="132">
        <f t="shared" si="350"/>
        <v>0</v>
      </c>
      <c r="Y1200" s="132">
        <f t="shared" si="351"/>
        <v>0</v>
      </c>
      <c r="Z1200" s="132">
        <f t="shared" si="352"/>
        <v>0</v>
      </c>
      <c r="AA1200" s="132">
        <f t="shared" si="353"/>
        <v>0</v>
      </c>
      <c r="AC1200" s="125">
        <v>20</v>
      </c>
      <c r="AD1200" s="125">
        <f t="shared" si="354"/>
        <v>0</v>
      </c>
      <c r="AE1200" s="125">
        <f t="shared" si="355"/>
        <v>0</v>
      </c>
    </row>
    <row r="1201" spans="1:31" s="90" customFormat="1" ht="11.25">
      <c r="A1201" s="131" t="s">
        <v>921</v>
      </c>
      <c r="B1201" s="131" t="s">
        <v>1978</v>
      </c>
      <c r="C1201" s="131" t="s">
        <v>3253</v>
      </c>
      <c r="D1201" s="131" t="s">
        <v>3456</v>
      </c>
      <c r="E1201" s="132">
        <v>2</v>
      </c>
      <c r="F1201" s="132">
        <v>0</v>
      </c>
      <c r="G1201" s="132">
        <f t="shared" si="346"/>
        <v>0</v>
      </c>
      <c r="H1201" s="132">
        <f t="shared" si="347"/>
        <v>0</v>
      </c>
      <c r="I1201" s="132">
        <f t="shared" si="348"/>
        <v>0</v>
      </c>
      <c r="J1201" s="132">
        <v>0</v>
      </c>
      <c r="K1201" s="132">
        <f t="shared" si="349"/>
        <v>0</v>
      </c>
      <c r="M1201" s="133" t="s">
        <v>1101</v>
      </c>
      <c r="N1201" s="132">
        <f t="shared" si="350"/>
        <v>0</v>
      </c>
      <c r="Y1201" s="132">
        <f t="shared" si="351"/>
        <v>0</v>
      </c>
      <c r="Z1201" s="132">
        <f t="shared" si="352"/>
        <v>0</v>
      </c>
      <c r="AA1201" s="132">
        <f t="shared" si="353"/>
        <v>0</v>
      </c>
      <c r="AC1201" s="125">
        <v>20</v>
      </c>
      <c r="AD1201" s="125">
        <f t="shared" si="354"/>
        <v>0</v>
      </c>
      <c r="AE1201" s="125">
        <f t="shared" si="355"/>
        <v>0</v>
      </c>
    </row>
    <row r="1202" spans="1:31" s="90" customFormat="1" ht="11.25">
      <c r="A1202" s="131" t="s">
        <v>922</v>
      </c>
      <c r="B1202" s="131" t="s">
        <v>1979</v>
      </c>
      <c r="C1202" s="131" t="s">
        <v>3254</v>
      </c>
      <c r="D1202" s="131" t="s">
        <v>3456</v>
      </c>
      <c r="E1202" s="132">
        <v>6</v>
      </c>
      <c r="F1202" s="132">
        <v>0</v>
      </c>
      <c r="G1202" s="132">
        <f t="shared" si="346"/>
        <v>0</v>
      </c>
      <c r="H1202" s="132">
        <f t="shared" si="347"/>
        <v>0</v>
      </c>
      <c r="I1202" s="132">
        <f t="shared" si="348"/>
        <v>0</v>
      </c>
      <c r="J1202" s="132">
        <v>0</v>
      </c>
      <c r="K1202" s="132">
        <f t="shared" si="349"/>
        <v>0</v>
      </c>
      <c r="M1202" s="133" t="s">
        <v>1101</v>
      </c>
      <c r="N1202" s="132">
        <f t="shared" si="350"/>
        <v>0</v>
      </c>
      <c r="Y1202" s="132">
        <f t="shared" si="351"/>
        <v>0</v>
      </c>
      <c r="Z1202" s="132">
        <f t="shared" si="352"/>
        <v>0</v>
      </c>
      <c r="AA1202" s="132">
        <f t="shared" si="353"/>
        <v>0</v>
      </c>
      <c r="AC1202" s="125">
        <v>20</v>
      </c>
      <c r="AD1202" s="125">
        <f t="shared" si="354"/>
        <v>0</v>
      </c>
      <c r="AE1202" s="125">
        <f t="shared" si="355"/>
        <v>0</v>
      </c>
    </row>
    <row r="1203" spans="1:31" s="90" customFormat="1" ht="11.25">
      <c r="A1203" s="131" t="s">
        <v>923</v>
      </c>
      <c r="B1203" s="131" t="s">
        <v>1980</v>
      </c>
      <c r="C1203" s="131" t="s">
        <v>3255</v>
      </c>
      <c r="D1203" s="131" t="s">
        <v>3456</v>
      </c>
      <c r="E1203" s="132">
        <v>3</v>
      </c>
      <c r="F1203" s="132">
        <v>0</v>
      </c>
      <c r="G1203" s="132">
        <f t="shared" si="346"/>
        <v>0</v>
      </c>
      <c r="H1203" s="132">
        <f t="shared" si="347"/>
        <v>0</v>
      </c>
      <c r="I1203" s="132">
        <f t="shared" si="348"/>
        <v>0</v>
      </c>
      <c r="J1203" s="132">
        <v>0</v>
      </c>
      <c r="K1203" s="132">
        <f t="shared" si="349"/>
        <v>0</v>
      </c>
      <c r="M1203" s="133" t="s">
        <v>1101</v>
      </c>
      <c r="N1203" s="132">
        <f t="shared" si="350"/>
        <v>0</v>
      </c>
      <c r="Y1203" s="132">
        <f t="shared" si="351"/>
        <v>0</v>
      </c>
      <c r="Z1203" s="132">
        <f t="shared" si="352"/>
        <v>0</v>
      </c>
      <c r="AA1203" s="132">
        <f t="shared" si="353"/>
        <v>0</v>
      </c>
      <c r="AC1203" s="125">
        <v>20</v>
      </c>
      <c r="AD1203" s="125">
        <f t="shared" si="354"/>
        <v>0</v>
      </c>
      <c r="AE1203" s="125">
        <f t="shared" si="355"/>
        <v>0</v>
      </c>
    </row>
    <row r="1204" spans="1:31" s="90" customFormat="1" ht="11.25">
      <c r="A1204" s="131" t="s">
        <v>924</v>
      </c>
      <c r="B1204" s="131" t="s">
        <v>1981</v>
      </c>
      <c r="C1204" s="131" t="s">
        <v>3256</v>
      </c>
      <c r="D1204" s="131" t="s">
        <v>3456</v>
      </c>
      <c r="E1204" s="132">
        <v>1</v>
      </c>
      <c r="F1204" s="132">
        <v>0</v>
      </c>
      <c r="G1204" s="132">
        <f t="shared" si="346"/>
        <v>0</v>
      </c>
      <c r="H1204" s="132">
        <f t="shared" si="347"/>
        <v>0</v>
      </c>
      <c r="I1204" s="132">
        <f t="shared" si="348"/>
        <v>0</v>
      </c>
      <c r="J1204" s="132">
        <v>0</v>
      </c>
      <c r="K1204" s="132">
        <f t="shared" si="349"/>
        <v>0</v>
      </c>
      <c r="M1204" s="133" t="s">
        <v>1101</v>
      </c>
      <c r="N1204" s="132">
        <f t="shared" si="350"/>
        <v>0</v>
      </c>
      <c r="Y1204" s="132">
        <f t="shared" si="351"/>
        <v>0</v>
      </c>
      <c r="Z1204" s="132">
        <f t="shared" si="352"/>
        <v>0</v>
      </c>
      <c r="AA1204" s="132">
        <f t="shared" si="353"/>
        <v>0</v>
      </c>
      <c r="AC1204" s="125">
        <v>20</v>
      </c>
      <c r="AD1204" s="125">
        <f t="shared" si="354"/>
        <v>0</v>
      </c>
      <c r="AE1204" s="125">
        <f t="shared" si="355"/>
        <v>0</v>
      </c>
    </row>
    <row r="1205" spans="1:31" s="90" customFormat="1" ht="11.25">
      <c r="A1205" s="131" t="s">
        <v>925</v>
      </c>
      <c r="B1205" s="131" t="s">
        <v>1982</v>
      </c>
      <c r="C1205" s="131" t="s">
        <v>3257</v>
      </c>
      <c r="D1205" s="131" t="s">
        <v>3456</v>
      </c>
      <c r="E1205" s="132">
        <v>3</v>
      </c>
      <c r="F1205" s="132">
        <v>0</v>
      </c>
      <c r="G1205" s="132">
        <f t="shared" si="346"/>
        <v>0</v>
      </c>
      <c r="H1205" s="132">
        <f t="shared" si="347"/>
        <v>0</v>
      </c>
      <c r="I1205" s="132">
        <f t="shared" si="348"/>
        <v>0</v>
      </c>
      <c r="J1205" s="132">
        <v>0</v>
      </c>
      <c r="K1205" s="132">
        <f t="shared" si="349"/>
        <v>0</v>
      </c>
      <c r="M1205" s="133" t="s">
        <v>1101</v>
      </c>
      <c r="N1205" s="132">
        <f t="shared" si="350"/>
        <v>0</v>
      </c>
      <c r="Y1205" s="132">
        <f t="shared" si="351"/>
        <v>0</v>
      </c>
      <c r="Z1205" s="132">
        <f t="shared" si="352"/>
        <v>0</v>
      </c>
      <c r="AA1205" s="132">
        <f t="shared" si="353"/>
        <v>0</v>
      </c>
      <c r="AC1205" s="125">
        <v>20</v>
      </c>
      <c r="AD1205" s="125">
        <f t="shared" si="354"/>
        <v>0</v>
      </c>
      <c r="AE1205" s="125">
        <f t="shared" si="355"/>
        <v>0</v>
      </c>
    </row>
    <row r="1206" spans="1:31" s="90" customFormat="1" ht="11.25">
      <c r="A1206" s="131" t="s">
        <v>926</v>
      </c>
      <c r="B1206" s="131" t="s">
        <v>1983</v>
      </c>
      <c r="C1206" s="131" t="s">
        <v>3258</v>
      </c>
      <c r="D1206" s="131" t="s">
        <v>3456</v>
      </c>
      <c r="E1206" s="132">
        <v>3</v>
      </c>
      <c r="F1206" s="132">
        <v>0</v>
      </c>
      <c r="G1206" s="132">
        <f t="shared" si="346"/>
        <v>0</v>
      </c>
      <c r="H1206" s="132">
        <f t="shared" si="347"/>
        <v>0</v>
      </c>
      <c r="I1206" s="132">
        <f t="shared" si="348"/>
        <v>0</v>
      </c>
      <c r="J1206" s="132">
        <v>0</v>
      </c>
      <c r="K1206" s="132">
        <f t="shared" si="349"/>
        <v>0</v>
      </c>
      <c r="M1206" s="133" t="s">
        <v>1101</v>
      </c>
      <c r="N1206" s="132">
        <f t="shared" si="350"/>
        <v>0</v>
      </c>
      <c r="Y1206" s="132">
        <f t="shared" si="351"/>
        <v>0</v>
      </c>
      <c r="Z1206" s="132">
        <f t="shared" si="352"/>
        <v>0</v>
      </c>
      <c r="AA1206" s="132">
        <f t="shared" si="353"/>
        <v>0</v>
      </c>
      <c r="AC1206" s="125">
        <v>20</v>
      </c>
      <c r="AD1206" s="125">
        <f t="shared" si="354"/>
        <v>0</v>
      </c>
      <c r="AE1206" s="125">
        <f t="shared" si="355"/>
        <v>0</v>
      </c>
    </row>
    <row r="1207" spans="1:31" s="90" customFormat="1" ht="11.25">
      <c r="A1207" s="131" t="s">
        <v>927</v>
      </c>
      <c r="B1207" s="131" t="s">
        <v>1984</v>
      </c>
      <c r="C1207" s="131" t="s">
        <v>3259</v>
      </c>
      <c r="D1207" s="131" t="s">
        <v>3456</v>
      </c>
      <c r="E1207" s="132">
        <v>1</v>
      </c>
      <c r="F1207" s="132">
        <v>0</v>
      </c>
      <c r="G1207" s="132">
        <f t="shared" si="346"/>
        <v>0</v>
      </c>
      <c r="H1207" s="132">
        <f t="shared" si="347"/>
        <v>0</v>
      </c>
      <c r="I1207" s="132">
        <f t="shared" si="348"/>
        <v>0</v>
      </c>
      <c r="J1207" s="132">
        <v>0</v>
      </c>
      <c r="K1207" s="132">
        <f t="shared" si="349"/>
        <v>0</v>
      </c>
      <c r="M1207" s="133" t="s">
        <v>1101</v>
      </c>
      <c r="N1207" s="132">
        <f t="shared" si="350"/>
        <v>0</v>
      </c>
      <c r="Y1207" s="132">
        <f t="shared" si="351"/>
        <v>0</v>
      </c>
      <c r="Z1207" s="132">
        <f t="shared" si="352"/>
        <v>0</v>
      </c>
      <c r="AA1207" s="132">
        <f t="shared" si="353"/>
        <v>0</v>
      </c>
      <c r="AC1207" s="125">
        <v>20</v>
      </c>
      <c r="AD1207" s="125">
        <f t="shared" si="354"/>
        <v>0</v>
      </c>
      <c r="AE1207" s="125">
        <f t="shared" si="355"/>
        <v>0</v>
      </c>
    </row>
    <row r="1208" spans="1:31" s="90" customFormat="1" ht="11.25">
      <c r="A1208" s="131" t="s">
        <v>928</v>
      </c>
      <c r="B1208" s="131" t="s">
        <v>1985</v>
      </c>
      <c r="C1208" s="131" t="s">
        <v>3260</v>
      </c>
      <c r="D1208" s="131" t="s">
        <v>3456</v>
      </c>
      <c r="E1208" s="132">
        <v>2</v>
      </c>
      <c r="F1208" s="132">
        <v>0</v>
      </c>
      <c r="G1208" s="132">
        <f t="shared" si="346"/>
        <v>0</v>
      </c>
      <c r="H1208" s="132">
        <f t="shared" si="347"/>
        <v>0</v>
      </c>
      <c r="I1208" s="132">
        <f t="shared" si="348"/>
        <v>0</v>
      </c>
      <c r="J1208" s="132">
        <v>0</v>
      </c>
      <c r="K1208" s="132">
        <f t="shared" si="349"/>
        <v>0</v>
      </c>
      <c r="M1208" s="133" t="s">
        <v>1101</v>
      </c>
      <c r="N1208" s="132">
        <f t="shared" si="350"/>
        <v>0</v>
      </c>
      <c r="Y1208" s="132">
        <f t="shared" si="351"/>
        <v>0</v>
      </c>
      <c r="Z1208" s="132">
        <f t="shared" si="352"/>
        <v>0</v>
      </c>
      <c r="AA1208" s="132">
        <f t="shared" si="353"/>
        <v>0</v>
      </c>
      <c r="AC1208" s="125">
        <v>20</v>
      </c>
      <c r="AD1208" s="125">
        <f t="shared" si="354"/>
        <v>0</v>
      </c>
      <c r="AE1208" s="125">
        <f t="shared" si="355"/>
        <v>0</v>
      </c>
    </row>
    <row r="1209" spans="1:31" s="90" customFormat="1" ht="11.25">
      <c r="A1209" s="131" t="s">
        <v>929</v>
      </c>
      <c r="B1209" s="131" t="s">
        <v>1986</v>
      </c>
      <c r="C1209" s="131" t="s">
        <v>3261</v>
      </c>
      <c r="D1209" s="131" t="s">
        <v>3456</v>
      </c>
      <c r="E1209" s="132">
        <v>2</v>
      </c>
      <c r="F1209" s="132">
        <v>0</v>
      </c>
      <c r="G1209" s="132">
        <f t="shared" si="346"/>
        <v>0</v>
      </c>
      <c r="H1209" s="132">
        <f t="shared" si="347"/>
        <v>0</v>
      </c>
      <c r="I1209" s="132">
        <f t="shared" si="348"/>
        <v>0</v>
      </c>
      <c r="J1209" s="132">
        <v>0</v>
      </c>
      <c r="K1209" s="132">
        <f t="shared" si="349"/>
        <v>0</v>
      </c>
      <c r="M1209" s="133" t="s">
        <v>1101</v>
      </c>
      <c r="N1209" s="132">
        <f t="shared" si="350"/>
        <v>0</v>
      </c>
      <c r="Y1209" s="132">
        <f t="shared" si="351"/>
        <v>0</v>
      </c>
      <c r="Z1209" s="132">
        <f t="shared" si="352"/>
        <v>0</v>
      </c>
      <c r="AA1209" s="132">
        <f t="shared" si="353"/>
        <v>0</v>
      </c>
      <c r="AC1209" s="125">
        <v>20</v>
      </c>
      <c r="AD1209" s="125">
        <f t="shared" si="354"/>
        <v>0</v>
      </c>
      <c r="AE1209" s="125">
        <f t="shared" si="355"/>
        <v>0</v>
      </c>
    </row>
    <row r="1210" spans="1:31" s="90" customFormat="1" ht="11.25">
      <c r="A1210" s="131" t="s">
        <v>930</v>
      </c>
      <c r="B1210" s="131" t="s">
        <v>1987</v>
      </c>
      <c r="C1210" s="131" t="s">
        <v>3262</v>
      </c>
      <c r="D1210" s="131" t="s">
        <v>3456</v>
      </c>
      <c r="E1210" s="132">
        <v>1</v>
      </c>
      <c r="F1210" s="132">
        <v>0</v>
      </c>
      <c r="G1210" s="132">
        <f t="shared" si="346"/>
        <v>0</v>
      </c>
      <c r="H1210" s="132">
        <f t="shared" si="347"/>
        <v>0</v>
      </c>
      <c r="I1210" s="132">
        <f t="shared" si="348"/>
        <v>0</v>
      </c>
      <c r="J1210" s="132">
        <v>0</v>
      </c>
      <c r="K1210" s="132">
        <f t="shared" si="349"/>
        <v>0</v>
      </c>
      <c r="M1210" s="133" t="s">
        <v>1101</v>
      </c>
      <c r="N1210" s="132">
        <f t="shared" si="350"/>
        <v>0</v>
      </c>
      <c r="Y1210" s="132">
        <f t="shared" si="351"/>
        <v>0</v>
      </c>
      <c r="Z1210" s="132">
        <f t="shared" si="352"/>
        <v>0</v>
      </c>
      <c r="AA1210" s="132">
        <f t="shared" si="353"/>
        <v>0</v>
      </c>
      <c r="AC1210" s="125">
        <v>20</v>
      </c>
      <c r="AD1210" s="125">
        <f t="shared" si="354"/>
        <v>0</v>
      </c>
      <c r="AE1210" s="125">
        <f t="shared" si="355"/>
        <v>0</v>
      </c>
    </row>
    <row r="1211" spans="1:31" s="90" customFormat="1" ht="11.25">
      <c r="A1211" s="131" t="s">
        <v>931</v>
      </c>
      <c r="B1211" s="131" t="s">
        <v>1987</v>
      </c>
      <c r="C1211" s="131" t="s">
        <v>3262</v>
      </c>
      <c r="D1211" s="131" t="s">
        <v>3456</v>
      </c>
      <c r="E1211" s="132">
        <v>102</v>
      </c>
      <c r="F1211" s="132">
        <v>0</v>
      </c>
      <c r="G1211" s="132">
        <f t="shared" si="346"/>
        <v>0</v>
      </c>
      <c r="H1211" s="132">
        <f t="shared" si="347"/>
        <v>0</v>
      </c>
      <c r="I1211" s="132">
        <f t="shared" si="348"/>
        <v>0</v>
      </c>
      <c r="J1211" s="132">
        <v>0</v>
      </c>
      <c r="K1211" s="132">
        <f t="shared" si="349"/>
        <v>0</v>
      </c>
      <c r="M1211" s="133" t="s">
        <v>1101</v>
      </c>
      <c r="N1211" s="132">
        <f t="shared" si="350"/>
        <v>0</v>
      </c>
      <c r="Y1211" s="132">
        <f t="shared" si="351"/>
        <v>0</v>
      </c>
      <c r="Z1211" s="132">
        <f t="shared" si="352"/>
        <v>0</v>
      </c>
      <c r="AA1211" s="132">
        <f t="shared" si="353"/>
        <v>0</v>
      </c>
      <c r="AC1211" s="125">
        <v>20</v>
      </c>
      <c r="AD1211" s="125">
        <f t="shared" si="354"/>
        <v>0</v>
      </c>
      <c r="AE1211" s="125">
        <f t="shared" si="355"/>
        <v>0</v>
      </c>
    </row>
    <row r="1212" spans="1:31" s="90" customFormat="1" ht="11.25">
      <c r="A1212" s="131" t="s">
        <v>932</v>
      </c>
      <c r="B1212" s="131" t="s">
        <v>1988</v>
      </c>
      <c r="C1212" s="131" t="s">
        <v>3263</v>
      </c>
      <c r="D1212" s="131" t="s">
        <v>3456</v>
      </c>
      <c r="E1212" s="132">
        <v>2</v>
      </c>
      <c r="F1212" s="132">
        <v>0</v>
      </c>
      <c r="G1212" s="132">
        <f t="shared" si="346"/>
        <v>0</v>
      </c>
      <c r="H1212" s="132">
        <f t="shared" si="347"/>
        <v>0</v>
      </c>
      <c r="I1212" s="132">
        <f t="shared" si="348"/>
        <v>0</v>
      </c>
      <c r="J1212" s="132">
        <v>0</v>
      </c>
      <c r="K1212" s="132">
        <f t="shared" si="349"/>
        <v>0</v>
      </c>
      <c r="M1212" s="133" t="s">
        <v>1101</v>
      </c>
      <c r="N1212" s="132">
        <f t="shared" si="350"/>
        <v>0</v>
      </c>
      <c r="Y1212" s="132">
        <f t="shared" si="351"/>
        <v>0</v>
      </c>
      <c r="Z1212" s="132">
        <f t="shared" si="352"/>
        <v>0</v>
      </c>
      <c r="AA1212" s="132">
        <f t="shared" si="353"/>
        <v>0</v>
      </c>
      <c r="AC1212" s="125">
        <v>20</v>
      </c>
      <c r="AD1212" s="125">
        <f t="shared" si="354"/>
        <v>0</v>
      </c>
      <c r="AE1212" s="125">
        <f t="shared" si="355"/>
        <v>0</v>
      </c>
    </row>
    <row r="1213" spans="1:31" s="90" customFormat="1" ht="11.25">
      <c r="A1213" s="131" t="s">
        <v>933</v>
      </c>
      <c r="B1213" s="131" t="s">
        <v>1989</v>
      </c>
      <c r="C1213" s="131" t="s">
        <v>3264</v>
      </c>
      <c r="D1213" s="131" t="s">
        <v>3456</v>
      </c>
      <c r="E1213" s="132">
        <v>12</v>
      </c>
      <c r="F1213" s="132">
        <v>0</v>
      </c>
      <c r="G1213" s="132">
        <f t="shared" si="346"/>
        <v>0</v>
      </c>
      <c r="H1213" s="132">
        <f t="shared" si="347"/>
        <v>0</v>
      </c>
      <c r="I1213" s="132">
        <f t="shared" si="348"/>
        <v>0</v>
      </c>
      <c r="J1213" s="132">
        <v>0</v>
      </c>
      <c r="K1213" s="132">
        <f t="shared" si="349"/>
        <v>0</v>
      </c>
      <c r="M1213" s="133" t="s">
        <v>1101</v>
      </c>
      <c r="N1213" s="132">
        <f t="shared" si="350"/>
        <v>0</v>
      </c>
      <c r="Y1213" s="132">
        <f t="shared" si="351"/>
        <v>0</v>
      </c>
      <c r="Z1213" s="132">
        <f t="shared" si="352"/>
        <v>0</v>
      </c>
      <c r="AA1213" s="132">
        <f t="shared" si="353"/>
        <v>0</v>
      </c>
      <c r="AC1213" s="125">
        <v>20</v>
      </c>
      <c r="AD1213" s="125">
        <f t="shared" si="354"/>
        <v>0</v>
      </c>
      <c r="AE1213" s="125">
        <f t="shared" si="355"/>
        <v>0</v>
      </c>
    </row>
    <row r="1214" spans="1:31" s="90" customFormat="1" ht="11.25">
      <c r="A1214" s="131" t="s">
        <v>934</v>
      </c>
      <c r="B1214" s="131" t="s">
        <v>1990</v>
      </c>
      <c r="C1214" s="131" t="s">
        <v>3265</v>
      </c>
      <c r="D1214" s="131" t="s">
        <v>3456</v>
      </c>
      <c r="E1214" s="132">
        <v>44</v>
      </c>
      <c r="F1214" s="132">
        <v>0</v>
      </c>
      <c r="G1214" s="132">
        <f t="shared" si="346"/>
        <v>0</v>
      </c>
      <c r="H1214" s="132">
        <f t="shared" si="347"/>
        <v>0</v>
      </c>
      <c r="I1214" s="132">
        <f t="shared" si="348"/>
        <v>0</v>
      </c>
      <c r="J1214" s="132">
        <v>0</v>
      </c>
      <c r="K1214" s="132">
        <f t="shared" si="349"/>
        <v>0</v>
      </c>
      <c r="M1214" s="133" t="s">
        <v>1101</v>
      </c>
      <c r="N1214" s="132">
        <f t="shared" si="350"/>
        <v>0</v>
      </c>
      <c r="Y1214" s="132">
        <f t="shared" si="351"/>
        <v>0</v>
      </c>
      <c r="Z1214" s="132">
        <f t="shared" si="352"/>
        <v>0</v>
      </c>
      <c r="AA1214" s="132">
        <f t="shared" si="353"/>
        <v>0</v>
      </c>
      <c r="AC1214" s="125">
        <v>20</v>
      </c>
      <c r="AD1214" s="125">
        <f t="shared" si="354"/>
        <v>0</v>
      </c>
      <c r="AE1214" s="125">
        <f t="shared" si="355"/>
        <v>0</v>
      </c>
    </row>
    <row r="1215" spans="1:31" s="90" customFormat="1" ht="11.25">
      <c r="A1215" s="131" t="s">
        <v>935</v>
      </c>
      <c r="B1215" s="131" t="s">
        <v>1991</v>
      </c>
      <c r="C1215" s="131" t="s">
        <v>3266</v>
      </c>
      <c r="D1215" s="131" t="s">
        <v>3456</v>
      </c>
      <c r="E1215" s="132">
        <v>2</v>
      </c>
      <c r="F1215" s="132">
        <v>0</v>
      </c>
      <c r="G1215" s="132">
        <f t="shared" si="346"/>
        <v>0</v>
      </c>
      <c r="H1215" s="132">
        <f t="shared" si="347"/>
        <v>0</v>
      </c>
      <c r="I1215" s="132">
        <f t="shared" si="348"/>
        <v>0</v>
      </c>
      <c r="J1215" s="132">
        <v>0</v>
      </c>
      <c r="K1215" s="132">
        <f t="shared" si="349"/>
        <v>0</v>
      </c>
      <c r="M1215" s="133" t="s">
        <v>1101</v>
      </c>
      <c r="N1215" s="132">
        <f t="shared" si="350"/>
        <v>0</v>
      </c>
      <c r="Y1215" s="132">
        <f t="shared" si="351"/>
        <v>0</v>
      </c>
      <c r="Z1215" s="132">
        <f t="shared" si="352"/>
        <v>0</v>
      </c>
      <c r="AA1215" s="132">
        <f t="shared" si="353"/>
        <v>0</v>
      </c>
      <c r="AC1215" s="125">
        <v>20</v>
      </c>
      <c r="AD1215" s="125">
        <f t="shared" si="354"/>
        <v>0</v>
      </c>
      <c r="AE1215" s="125">
        <f t="shared" si="355"/>
        <v>0</v>
      </c>
    </row>
    <row r="1216" spans="1:31" s="90" customFormat="1" ht="11.25">
      <c r="A1216" s="131" t="s">
        <v>936</v>
      </c>
      <c r="B1216" s="131" t="s">
        <v>1992</v>
      </c>
      <c r="C1216" s="131" t="s">
        <v>3267</v>
      </c>
      <c r="D1216" s="131" t="s">
        <v>3456</v>
      </c>
      <c r="E1216" s="132">
        <v>2</v>
      </c>
      <c r="F1216" s="132">
        <v>0</v>
      </c>
      <c r="G1216" s="132">
        <f t="shared" si="346"/>
        <v>0</v>
      </c>
      <c r="H1216" s="132">
        <f t="shared" si="347"/>
        <v>0</v>
      </c>
      <c r="I1216" s="132">
        <f t="shared" si="348"/>
        <v>0</v>
      </c>
      <c r="J1216" s="132">
        <v>0</v>
      </c>
      <c r="K1216" s="132">
        <f t="shared" si="349"/>
        <v>0</v>
      </c>
      <c r="M1216" s="133" t="s">
        <v>1101</v>
      </c>
      <c r="N1216" s="132">
        <f t="shared" si="350"/>
        <v>0</v>
      </c>
      <c r="Y1216" s="132">
        <f t="shared" si="351"/>
        <v>0</v>
      </c>
      <c r="Z1216" s="132">
        <f t="shared" si="352"/>
        <v>0</v>
      </c>
      <c r="AA1216" s="132">
        <f t="shared" si="353"/>
        <v>0</v>
      </c>
      <c r="AC1216" s="125">
        <v>20</v>
      </c>
      <c r="AD1216" s="125">
        <f t="shared" si="354"/>
        <v>0</v>
      </c>
      <c r="AE1216" s="125">
        <f t="shared" si="355"/>
        <v>0</v>
      </c>
    </row>
    <row r="1217" spans="1:31" s="90" customFormat="1" ht="11.25">
      <c r="A1217" s="131" t="s">
        <v>937</v>
      </c>
      <c r="B1217" s="131" t="s">
        <v>1993</v>
      </c>
      <c r="C1217" s="131" t="s">
        <v>3268</v>
      </c>
      <c r="D1217" s="131" t="s">
        <v>3456</v>
      </c>
      <c r="E1217" s="132">
        <v>2</v>
      </c>
      <c r="F1217" s="132">
        <v>0</v>
      </c>
      <c r="G1217" s="132">
        <f t="shared" si="346"/>
        <v>0</v>
      </c>
      <c r="H1217" s="132">
        <f t="shared" si="347"/>
        <v>0</v>
      </c>
      <c r="I1217" s="132">
        <f t="shared" si="348"/>
        <v>0</v>
      </c>
      <c r="J1217" s="132">
        <v>0</v>
      </c>
      <c r="K1217" s="132">
        <f t="shared" si="349"/>
        <v>0</v>
      </c>
      <c r="M1217" s="133" t="s">
        <v>1101</v>
      </c>
      <c r="N1217" s="132">
        <f t="shared" si="350"/>
        <v>0</v>
      </c>
      <c r="Y1217" s="132">
        <f t="shared" si="351"/>
        <v>0</v>
      </c>
      <c r="Z1217" s="132">
        <f t="shared" si="352"/>
        <v>0</v>
      </c>
      <c r="AA1217" s="132">
        <f t="shared" si="353"/>
        <v>0</v>
      </c>
      <c r="AC1217" s="125">
        <v>20</v>
      </c>
      <c r="AD1217" s="125">
        <f t="shared" si="354"/>
        <v>0</v>
      </c>
      <c r="AE1217" s="125">
        <f t="shared" si="355"/>
        <v>0</v>
      </c>
    </row>
    <row r="1218" spans="1:31" s="90" customFormat="1" ht="11.25">
      <c r="A1218" s="131" t="s">
        <v>938</v>
      </c>
      <c r="B1218" s="131" t="s">
        <v>1994</v>
      </c>
      <c r="C1218" s="131" t="s">
        <v>3269</v>
      </c>
      <c r="D1218" s="131" t="s">
        <v>3456</v>
      </c>
      <c r="E1218" s="132">
        <v>1</v>
      </c>
      <c r="F1218" s="132">
        <v>0</v>
      </c>
      <c r="G1218" s="132">
        <f t="shared" si="346"/>
        <v>0</v>
      </c>
      <c r="H1218" s="132">
        <f t="shared" si="347"/>
        <v>0</v>
      </c>
      <c r="I1218" s="132">
        <f t="shared" si="348"/>
        <v>0</v>
      </c>
      <c r="J1218" s="132">
        <v>0</v>
      </c>
      <c r="K1218" s="132">
        <f t="shared" si="349"/>
        <v>0</v>
      </c>
      <c r="M1218" s="133" t="s">
        <v>1101</v>
      </c>
      <c r="N1218" s="132">
        <f t="shared" si="350"/>
        <v>0</v>
      </c>
      <c r="Y1218" s="132">
        <f t="shared" si="351"/>
        <v>0</v>
      </c>
      <c r="Z1218" s="132">
        <f t="shared" si="352"/>
        <v>0</v>
      </c>
      <c r="AA1218" s="132">
        <f t="shared" si="353"/>
        <v>0</v>
      </c>
      <c r="AC1218" s="125">
        <v>20</v>
      </c>
      <c r="AD1218" s="125">
        <f t="shared" si="354"/>
        <v>0</v>
      </c>
      <c r="AE1218" s="125">
        <f t="shared" si="355"/>
        <v>0</v>
      </c>
    </row>
    <row r="1219" spans="1:31" s="90" customFormat="1" ht="11.25">
      <c r="A1219" s="131" t="s">
        <v>939</v>
      </c>
      <c r="B1219" s="131" t="s">
        <v>1995</v>
      </c>
      <c r="C1219" s="131" t="s">
        <v>3270</v>
      </c>
      <c r="D1219" s="131" t="s">
        <v>3456</v>
      </c>
      <c r="E1219" s="132">
        <v>1</v>
      </c>
      <c r="F1219" s="132">
        <v>0</v>
      </c>
      <c r="G1219" s="132">
        <f t="shared" si="346"/>
        <v>0</v>
      </c>
      <c r="H1219" s="132">
        <f t="shared" si="347"/>
        <v>0</v>
      </c>
      <c r="I1219" s="132">
        <f t="shared" si="348"/>
        <v>0</v>
      </c>
      <c r="J1219" s="132">
        <v>0</v>
      </c>
      <c r="K1219" s="132">
        <f t="shared" si="349"/>
        <v>0</v>
      </c>
      <c r="M1219" s="133" t="s">
        <v>1101</v>
      </c>
      <c r="N1219" s="132">
        <f t="shared" si="350"/>
        <v>0</v>
      </c>
      <c r="Y1219" s="132">
        <f t="shared" si="351"/>
        <v>0</v>
      </c>
      <c r="Z1219" s="132">
        <f t="shared" si="352"/>
        <v>0</v>
      </c>
      <c r="AA1219" s="132">
        <f t="shared" si="353"/>
        <v>0</v>
      </c>
      <c r="AC1219" s="125">
        <v>20</v>
      </c>
      <c r="AD1219" s="125">
        <f t="shared" si="354"/>
        <v>0</v>
      </c>
      <c r="AE1219" s="125">
        <f t="shared" si="355"/>
        <v>0</v>
      </c>
    </row>
    <row r="1220" spans="1:31" s="90" customFormat="1" ht="11.25">
      <c r="A1220" s="131" t="s">
        <v>940</v>
      </c>
      <c r="B1220" s="131" t="s">
        <v>1996</v>
      </c>
      <c r="C1220" s="131" t="s">
        <v>3271</v>
      </c>
      <c r="D1220" s="131" t="s">
        <v>3456</v>
      </c>
      <c r="E1220" s="132">
        <v>2</v>
      </c>
      <c r="F1220" s="132">
        <v>0</v>
      </c>
      <c r="G1220" s="132">
        <f t="shared" si="346"/>
        <v>0</v>
      </c>
      <c r="H1220" s="132">
        <f t="shared" si="347"/>
        <v>0</v>
      </c>
      <c r="I1220" s="132">
        <f t="shared" si="348"/>
        <v>0</v>
      </c>
      <c r="J1220" s="132">
        <v>0</v>
      </c>
      <c r="K1220" s="132">
        <f t="shared" si="349"/>
        <v>0</v>
      </c>
      <c r="M1220" s="133" t="s">
        <v>1101</v>
      </c>
      <c r="N1220" s="132">
        <f t="shared" si="350"/>
        <v>0</v>
      </c>
      <c r="Y1220" s="132">
        <f t="shared" si="351"/>
        <v>0</v>
      </c>
      <c r="Z1220" s="132">
        <f t="shared" si="352"/>
        <v>0</v>
      </c>
      <c r="AA1220" s="132">
        <f t="shared" si="353"/>
        <v>0</v>
      </c>
      <c r="AC1220" s="125">
        <v>20</v>
      </c>
      <c r="AD1220" s="125">
        <f t="shared" si="354"/>
        <v>0</v>
      </c>
      <c r="AE1220" s="125">
        <f t="shared" si="355"/>
        <v>0</v>
      </c>
    </row>
    <row r="1221" spans="1:31" s="90" customFormat="1" ht="11.25">
      <c r="A1221" s="131" t="s">
        <v>941</v>
      </c>
      <c r="B1221" s="131" t="s">
        <v>1997</v>
      </c>
      <c r="C1221" s="131" t="s">
        <v>3272</v>
      </c>
      <c r="D1221" s="131" t="s">
        <v>3456</v>
      </c>
      <c r="E1221" s="132">
        <v>15</v>
      </c>
      <c r="F1221" s="132">
        <v>0</v>
      </c>
      <c r="G1221" s="132">
        <f t="shared" si="346"/>
        <v>0</v>
      </c>
      <c r="H1221" s="132">
        <f t="shared" si="347"/>
        <v>0</v>
      </c>
      <c r="I1221" s="132">
        <f t="shared" si="348"/>
        <v>0</v>
      </c>
      <c r="J1221" s="132">
        <v>0</v>
      </c>
      <c r="K1221" s="132">
        <f t="shared" si="349"/>
        <v>0</v>
      </c>
      <c r="M1221" s="133" t="s">
        <v>1101</v>
      </c>
      <c r="N1221" s="132">
        <f t="shared" si="350"/>
        <v>0</v>
      </c>
      <c r="Y1221" s="132">
        <f t="shared" si="351"/>
        <v>0</v>
      </c>
      <c r="Z1221" s="132">
        <f t="shared" si="352"/>
        <v>0</v>
      </c>
      <c r="AA1221" s="132">
        <f t="shared" si="353"/>
        <v>0</v>
      </c>
      <c r="AC1221" s="125">
        <v>20</v>
      </c>
      <c r="AD1221" s="125">
        <f t="shared" si="354"/>
        <v>0</v>
      </c>
      <c r="AE1221" s="125">
        <f t="shared" si="355"/>
        <v>0</v>
      </c>
    </row>
    <row r="1222" spans="1:31" s="90" customFormat="1" ht="11.25">
      <c r="A1222" s="131" t="s">
        <v>942</v>
      </c>
      <c r="B1222" s="131" t="s">
        <v>1998</v>
      </c>
      <c r="C1222" s="131" t="s">
        <v>3273</v>
      </c>
      <c r="D1222" s="131" t="s">
        <v>3456</v>
      </c>
      <c r="E1222" s="132">
        <v>15</v>
      </c>
      <c r="F1222" s="132">
        <v>0</v>
      </c>
      <c r="G1222" s="132">
        <f aca="true" t="shared" si="356" ref="G1222:G1253">ROUND(E1222*AD1222,2)</f>
        <v>0</v>
      </c>
      <c r="H1222" s="132">
        <f aca="true" t="shared" si="357" ref="H1222:H1253">I1222-G1222</f>
        <v>0</v>
      </c>
      <c r="I1222" s="132">
        <f aca="true" t="shared" si="358" ref="I1222:I1253">ROUND(E1222*F1222,2)</f>
        <v>0</v>
      </c>
      <c r="J1222" s="132">
        <v>0</v>
      </c>
      <c r="K1222" s="132">
        <f aca="true" t="shared" si="359" ref="K1222:K1253">E1222*J1222</f>
        <v>0</v>
      </c>
      <c r="M1222" s="133" t="s">
        <v>1101</v>
      </c>
      <c r="N1222" s="132">
        <f aca="true" t="shared" si="360" ref="N1222:N1253">IF(M1222="5",H1222,0)</f>
        <v>0</v>
      </c>
      <c r="Y1222" s="132">
        <f aca="true" t="shared" si="361" ref="Y1222:Y1253">IF(AC1222=0,I1222,0)</f>
        <v>0</v>
      </c>
      <c r="Z1222" s="132">
        <f aca="true" t="shared" si="362" ref="Z1222:Z1253">IF(AC1222=14,I1222,0)</f>
        <v>0</v>
      </c>
      <c r="AA1222" s="132">
        <f aca="true" t="shared" si="363" ref="AA1222:AA1253">IF(AC1222=20,I1222,0)</f>
        <v>0</v>
      </c>
      <c r="AC1222" s="125">
        <v>20</v>
      </c>
      <c r="AD1222" s="125">
        <f t="shared" si="354"/>
        <v>0</v>
      </c>
      <c r="AE1222" s="125">
        <f t="shared" si="355"/>
        <v>0</v>
      </c>
    </row>
    <row r="1223" spans="1:31" s="90" customFormat="1" ht="11.25">
      <c r="A1223" s="131" t="s">
        <v>943</v>
      </c>
      <c r="B1223" s="131" t="s">
        <v>1999</v>
      </c>
      <c r="C1223" s="131" t="s">
        <v>3274</v>
      </c>
      <c r="D1223" s="131" t="s">
        <v>3456</v>
      </c>
      <c r="E1223" s="132">
        <v>10</v>
      </c>
      <c r="F1223" s="132">
        <v>0</v>
      </c>
      <c r="G1223" s="132">
        <f t="shared" si="356"/>
        <v>0</v>
      </c>
      <c r="H1223" s="132">
        <f t="shared" si="357"/>
        <v>0</v>
      </c>
      <c r="I1223" s="132">
        <f t="shared" si="358"/>
        <v>0</v>
      </c>
      <c r="J1223" s="132">
        <v>0</v>
      </c>
      <c r="K1223" s="132">
        <f t="shared" si="359"/>
        <v>0</v>
      </c>
      <c r="M1223" s="133" t="s">
        <v>1101</v>
      </c>
      <c r="N1223" s="132">
        <f t="shared" si="360"/>
        <v>0</v>
      </c>
      <c r="Y1223" s="132">
        <f t="shared" si="361"/>
        <v>0</v>
      </c>
      <c r="Z1223" s="132">
        <f t="shared" si="362"/>
        <v>0</v>
      </c>
      <c r="AA1223" s="132">
        <f t="shared" si="363"/>
        <v>0</v>
      </c>
      <c r="AC1223" s="125">
        <v>20</v>
      </c>
      <c r="AD1223" s="125">
        <f t="shared" si="354"/>
        <v>0</v>
      </c>
      <c r="AE1223" s="125">
        <f t="shared" si="355"/>
        <v>0</v>
      </c>
    </row>
    <row r="1224" spans="1:31" s="90" customFormat="1" ht="11.25">
      <c r="A1224" s="131" t="s">
        <v>944</v>
      </c>
      <c r="B1224" s="131" t="s">
        <v>2000</v>
      </c>
      <c r="C1224" s="131" t="s">
        <v>3275</v>
      </c>
      <c r="D1224" s="131" t="s">
        <v>3470</v>
      </c>
      <c r="E1224" s="132">
        <v>10</v>
      </c>
      <c r="F1224" s="132">
        <v>0</v>
      </c>
      <c r="G1224" s="132">
        <f t="shared" si="356"/>
        <v>0</v>
      </c>
      <c r="H1224" s="132">
        <f t="shared" si="357"/>
        <v>0</v>
      </c>
      <c r="I1224" s="132">
        <f t="shared" si="358"/>
        <v>0</v>
      </c>
      <c r="J1224" s="132">
        <v>0</v>
      </c>
      <c r="K1224" s="132">
        <f t="shared" si="359"/>
        <v>0</v>
      </c>
      <c r="M1224" s="133" t="s">
        <v>1101</v>
      </c>
      <c r="N1224" s="132">
        <f t="shared" si="360"/>
        <v>0</v>
      </c>
      <c r="Y1224" s="132">
        <f t="shared" si="361"/>
        <v>0</v>
      </c>
      <c r="Z1224" s="132">
        <f t="shared" si="362"/>
        <v>0</v>
      </c>
      <c r="AA1224" s="132">
        <f t="shared" si="363"/>
        <v>0</v>
      </c>
      <c r="AC1224" s="125">
        <v>20</v>
      </c>
      <c r="AD1224" s="125">
        <f t="shared" si="354"/>
        <v>0</v>
      </c>
      <c r="AE1224" s="125">
        <f t="shared" si="355"/>
        <v>0</v>
      </c>
    </row>
    <row r="1225" spans="1:31" s="90" customFormat="1" ht="11.25">
      <c r="A1225" s="131" t="s">
        <v>945</v>
      </c>
      <c r="B1225" s="131" t="s">
        <v>2001</v>
      </c>
      <c r="C1225" s="131" t="s">
        <v>3276</v>
      </c>
      <c r="D1225" s="131" t="s">
        <v>3456</v>
      </c>
      <c r="E1225" s="132">
        <v>15</v>
      </c>
      <c r="F1225" s="132">
        <v>0</v>
      </c>
      <c r="G1225" s="132">
        <f t="shared" si="356"/>
        <v>0</v>
      </c>
      <c r="H1225" s="132">
        <f t="shared" si="357"/>
        <v>0</v>
      </c>
      <c r="I1225" s="132">
        <f t="shared" si="358"/>
        <v>0</v>
      </c>
      <c r="J1225" s="132">
        <v>0</v>
      </c>
      <c r="K1225" s="132">
        <f t="shared" si="359"/>
        <v>0</v>
      </c>
      <c r="M1225" s="133" t="s">
        <v>1101</v>
      </c>
      <c r="N1225" s="132">
        <f t="shared" si="360"/>
        <v>0</v>
      </c>
      <c r="Y1225" s="132">
        <f t="shared" si="361"/>
        <v>0</v>
      </c>
      <c r="Z1225" s="132">
        <f t="shared" si="362"/>
        <v>0</v>
      </c>
      <c r="AA1225" s="132">
        <f t="shared" si="363"/>
        <v>0</v>
      </c>
      <c r="AC1225" s="125">
        <v>20</v>
      </c>
      <c r="AD1225" s="125">
        <f t="shared" si="354"/>
        <v>0</v>
      </c>
      <c r="AE1225" s="125">
        <f t="shared" si="355"/>
        <v>0</v>
      </c>
    </row>
    <row r="1226" spans="1:31" s="90" customFormat="1" ht="11.25">
      <c r="A1226" s="131" t="s">
        <v>946</v>
      </c>
      <c r="B1226" s="131" t="s">
        <v>2002</v>
      </c>
      <c r="C1226" s="131" t="s">
        <v>3277</v>
      </c>
      <c r="D1226" s="131" t="s">
        <v>3456</v>
      </c>
      <c r="E1226" s="132">
        <v>50</v>
      </c>
      <c r="F1226" s="132">
        <v>0</v>
      </c>
      <c r="G1226" s="132">
        <f t="shared" si="356"/>
        <v>0</v>
      </c>
      <c r="H1226" s="132">
        <f t="shared" si="357"/>
        <v>0</v>
      </c>
      <c r="I1226" s="132">
        <f t="shared" si="358"/>
        <v>0</v>
      </c>
      <c r="J1226" s="132">
        <v>0</v>
      </c>
      <c r="K1226" s="132">
        <f t="shared" si="359"/>
        <v>0</v>
      </c>
      <c r="M1226" s="133" t="s">
        <v>1101</v>
      </c>
      <c r="N1226" s="132">
        <f t="shared" si="360"/>
        <v>0</v>
      </c>
      <c r="Y1226" s="132">
        <f t="shared" si="361"/>
        <v>0</v>
      </c>
      <c r="Z1226" s="132">
        <f t="shared" si="362"/>
        <v>0</v>
      </c>
      <c r="AA1226" s="132">
        <f t="shared" si="363"/>
        <v>0</v>
      </c>
      <c r="AC1226" s="125">
        <v>20</v>
      </c>
      <c r="AD1226" s="125">
        <f t="shared" si="354"/>
        <v>0</v>
      </c>
      <c r="AE1226" s="125">
        <f t="shared" si="355"/>
        <v>0</v>
      </c>
    </row>
    <row r="1227" spans="1:31" s="90" customFormat="1" ht="11.25">
      <c r="A1227" s="131" t="s">
        <v>947</v>
      </c>
      <c r="B1227" s="131" t="s">
        <v>2003</v>
      </c>
      <c r="C1227" s="131" t="s">
        <v>3278</v>
      </c>
      <c r="D1227" s="131" t="s">
        <v>3456</v>
      </c>
      <c r="E1227" s="132">
        <v>2</v>
      </c>
      <c r="F1227" s="132">
        <v>0</v>
      </c>
      <c r="G1227" s="132">
        <f t="shared" si="356"/>
        <v>0</v>
      </c>
      <c r="H1227" s="132">
        <f t="shared" si="357"/>
        <v>0</v>
      </c>
      <c r="I1227" s="132">
        <f t="shared" si="358"/>
        <v>0</v>
      </c>
      <c r="J1227" s="132">
        <v>0</v>
      </c>
      <c r="K1227" s="132">
        <f t="shared" si="359"/>
        <v>0</v>
      </c>
      <c r="M1227" s="133" t="s">
        <v>1101</v>
      </c>
      <c r="N1227" s="132">
        <f t="shared" si="360"/>
        <v>0</v>
      </c>
      <c r="Y1227" s="132">
        <f t="shared" si="361"/>
        <v>0</v>
      </c>
      <c r="Z1227" s="132">
        <f t="shared" si="362"/>
        <v>0</v>
      </c>
      <c r="AA1227" s="132">
        <f t="shared" si="363"/>
        <v>0</v>
      </c>
      <c r="AC1227" s="125">
        <v>20</v>
      </c>
      <c r="AD1227" s="125">
        <f t="shared" si="354"/>
        <v>0</v>
      </c>
      <c r="AE1227" s="125">
        <f t="shared" si="355"/>
        <v>0</v>
      </c>
    </row>
    <row r="1228" spans="1:31" s="90" customFormat="1" ht="11.25">
      <c r="A1228" s="131" t="s">
        <v>948</v>
      </c>
      <c r="B1228" s="131" t="s">
        <v>2004</v>
      </c>
      <c r="C1228" s="131" t="s">
        <v>3279</v>
      </c>
      <c r="D1228" s="131" t="s">
        <v>3456</v>
      </c>
      <c r="E1228" s="132">
        <v>2</v>
      </c>
      <c r="F1228" s="132">
        <v>0</v>
      </c>
      <c r="G1228" s="132">
        <f t="shared" si="356"/>
        <v>0</v>
      </c>
      <c r="H1228" s="132">
        <f t="shared" si="357"/>
        <v>0</v>
      </c>
      <c r="I1228" s="132">
        <f t="shared" si="358"/>
        <v>0</v>
      </c>
      <c r="J1228" s="132">
        <v>0</v>
      </c>
      <c r="K1228" s="132">
        <f t="shared" si="359"/>
        <v>0</v>
      </c>
      <c r="M1228" s="133" t="s">
        <v>1101</v>
      </c>
      <c r="N1228" s="132">
        <f t="shared" si="360"/>
        <v>0</v>
      </c>
      <c r="Y1228" s="132">
        <f t="shared" si="361"/>
        <v>0</v>
      </c>
      <c r="Z1228" s="132">
        <f t="shared" si="362"/>
        <v>0</v>
      </c>
      <c r="AA1228" s="132">
        <f t="shared" si="363"/>
        <v>0</v>
      </c>
      <c r="AC1228" s="125">
        <v>20</v>
      </c>
      <c r="AD1228" s="125">
        <f t="shared" si="354"/>
        <v>0</v>
      </c>
      <c r="AE1228" s="125">
        <f t="shared" si="355"/>
        <v>0</v>
      </c>
    </row>
    <row r="1229" spans="1:31" s="90" customFormat="1" ht="11.25">
      <c r="A1229" s="131" t="s">
        <v>949</v>
      </c>
      <c r="B1229" s="131" t="s">
        <v>2005</v>
      </c>
      <c r="C1229" s="131" t="s">
        <v>3280</v>
      </c>
      <c r="D1229" s="131" t="s">
        <v>3456</v>
      </c>
      <c r="E1229" s="132">
        <v>1</v>
      </c>
      <c r="F1229" s="132">
        <v>0</v>
      </c>
      <c r="G1229" s="132">
        <f t="shared" si="356"/>
        <v>0</v>
      </c>
      <c r="H1229" s="132">
        <f t="shared" si="357"/>
        <v>0</v>
      </c>
      <c r="I1229" s="132">
        <f t="shared" si="358"/>
        <v>0</v>
      </c>
      <c r="J1229" s="132">
        <v>0</v>
      </c>
      <c r="K1229" s="132">
        <f t="shared" si="359"/>
        <v>0</v>
      </c>
      <c r="M1229" s="133" t="s">
        <v>1101</v>
      </c>
      <c r="N1229" s="132">
        <f t="shared" si="360"/>
        <v>0</v>
      </c>
      <c r="Y1229" s="132">
        <f t="shared" si="361"/>
        <v>0</v>
      </c>
      <c r="Z1229" s="132">
        <f t="shared" si="362"/>
        <v>0</v>
      </c>
      <c r="AA1229" s="132">
        <f t="shared" si="363"/>
        <v>0</v>
      </c>
      <c r="AC1229" s="125">
        <v>20</v>
      </c>
      <c r="AD1229" s="125">
        <f aca="true" t="shared" si="364" ref="AD1229:AD1251">F1229*1</f>
        <v>0</v>
      </c>
      <c r="AE1229" s="125">
        <f aca="true" t="shared" si="365" ref="AE1229:AE1251">F1229*(1-1)</f>
        <v>0</v>
      </c>
    </row>
    <row r="1230" spans="1:31" s="90" customFormat="1" ht="11.25">
      <c r="A1230" s="131" t="s">
        <v>950</v>
      </c>
      <c r="B1230" s="131" t="s">
        <v>2006</v>
      </c>
      <c r="C1230" s="131" t="s">
        <v>3281</v>
      </c>
      <c r="D1230" s="131" t="s">
        <v>3456</v>
      </c>
      <c r="E1230" s="132">
        <v>2</v>
      </c>
      <c r="F1230" s="132">
        <v>0</v>
      </c>
      <c r="G1230" s="132">
        <f t="shared" si="356"/>
        <v>0</v>
      </c>
      <c r="H1230" s="132">
        <f t="shared" si="357"/>
        <v>0</v>
      </c>
      <c r="I1230" s="132">
        <f t="shared" si="358"/>
        <v>0</v>
      </c>
      <c r="J1230" s="132">
        <v>0</v>
      </c>
      <c r="K1230" s="132">
        <f t="shared" si="359"/>
        <v>0</v>
      </c>
      <c r="M1230" s="133" t="s">
        <v>1101</v>
      </c>
      <c r="N1230" s="132">
        <f t="shared" si="360"/>
        <v>0</v>
      </c>
      <c r="Y1230" s="132">
        <f t="shared" si="361"/>
        <v>0</v>
      </c>
      <c r="Z1230" s="132">
        <f t="shared" si="362"/>
        <v>0</v>
      </c>
      <c r="AA1230" s="132">
        <f t="shared" si="363"/>
        <v>0</v>
      </c>
      <c r="AC1230" s="125">
        <v>20</v>
      </c>
      <c r="AD1230" s="125">
        <f t="shared" si="364"/>
        <v>0</v>
      </c>
      <c r="AE1230" s="125">
        <f t="shared" si="365"/>
        <v>0</v>
      </c>
    </row>
    <row r="1231" spans="1:31" s="90" customFormat="1" ht="11.25">
      <c r="A1231" s="131" t="s">
        <v>951</v>
      </c>
      <c r="B1231" s="131" t="s">
        <v>2007</v>
      </c>
      <c r="C1231" s="131" t="s">
        <v>3282</v>
      </c>
      <c r="D1231" s="131" t="s">
        <v>3456</v>
      </c>
      <c r="E1231" s="132">
        <v>1</v>
      </c>
      <c r="F1231" s="132">
        <v>0</v>
      </c>
      <c r="G1231" s="132">
        <f t="shared" si="356"/>
        <v>0</v>
      </c>
      <c r="H1231" s="132">
        <f t="shared" si="357"/>
        <v>0</v>
      </c>
      <c r="I1231" s="132">
        <f t="shared" si="358"/>
        <v>0</v>
      </c>
      <c r="J1231" s="132">
        <v>0</v>
      </c>
      <c r="K1231" s="132">
        <f t="shared" si="359"/>
        <v>0</v>
      </c>
      <c r="M1231" s="133" t="s">
        <v>1101</v>
      </c>
      <c r="N1231" s="132">
        <f t="shared" si="360"/>
        <v>0</v>
      </c>
      <c r="Y1231" s="132">
        <f t="shared" si="361"/>
        <v>0</v>
      </c>
      <c r="Z1231" s="132">
        <f t="shared" si="362"/>
        <v>0</v>
      </c>
      <c r="AA1231" s="132">
        <f t="shared" si="363"/>
        <v>0</v>
      </c>
      <c r="AC1231" s="125">
        <v>20</v>
      </c>
      <c r="AD1231" s="125">
        <f t="shared" si="364"/>
        <v>0</v>
      </c>
      <c r="AE1231" s="125">
        <f t="shared" si="365"/>
        <v>0</v>
      </c>
    </row>
    <row r="1232" spans="1:31" s="90" customFormat="1" ht="11.25">
      <c r="A1232" s="131" t="s">
        <v>952</v>
      </c>
      <c r="B1232" s="131" t="s">
        <v>2008</v>
      </c>
      <c r="C1232" s="131" t="s">
        <v>3283</v>
      </c>
      <c r="D1232" s="131" t="s">
        <v>3456</v>
      </c>
      <c r="E1232" s="132">
        <v>5</v>
      </c>
      <c r="F1232" s="132">
        <v>0</v>
      </c>
      <c r="G1232" s="132">
        <f t="shared" si="356"/>
        <v>0</v>
      </c>
      <c r="H1232" s="132">
        <f t="shared" si="357"/>
        <v>0</v>
      </c>
      <c r="I1232" s="132">
        <f t="shared" si="358"/>
        <v>0</v>
      </c>
      <c r="J1232" s="132">
        <v>0</v>
      </c>
      <c r="K1232" s="132">
        <f t="shared" si="359"/>
        <v>0</v>
      </c>
      <c r="M1232" s="133" t="s">
        <v>1101</v>
      </c>
      <c r="N1232" s="132">
        <f t="shared" si="360"/>
        <v>0</v>
      </c>
      <c r="Y1232" s="132">
        <f t="shared" si="361"/>
        <v>0</v>
      </c>
      <c r="Z1232" s="132">
        <f t="shared" si="362"/>
        <v>0</v>
      </c>
      <c r="AA1232" s="132">
        <f t="shared" si="363"/>
        <v>0</v>
      </c>
      <c r="AC1232" s="125">
        <v>20</v>
      </c>
      <c r="AD1232" s="125">
        <f t="shared" si="364"/>
        <v>0</v>
      </c>
      <c r="AE1232" s="125">
        <f t="shared" si="365"/>
        <v>0</v>
      </c>
    </row>
    <row r="1233" spans="1:31" s="90" customFormat="1" ht="11.25">
      <c r="A1233" s="131" t="s">
        <v>953</v>
      </c>
      <c r="B1233" s="131" t="s">
        <v>2009</v>
      </c>
      <c r="C1233" s="131" t="s">
        <v>3284</v>
      </c>
      <c r="D1233" s="131" t="s">
        <v>3456</v>
      </c>
      <c r="E1233" s="132">
        <v>1</v>
      </c>
      <c r="F1233" s="132">
        <v>0</v>
      </c>
      <c r="G1233" s="132">
        <f t="shared" si="356"/>
        <v>0</v>
      </c>
      <c r="H1233" s="132">
        <f t="shared" si="357"/>
        <v>0</v>
      </c>
      <c r="I1233" s="132">
        <f t="shared" si="358"/>
        <v>0</v>
      </c>
      <c r="J1233" s="132">
        <v>0</v>
      </c>
      <c r="K1233" s="132">
        <f t="shared" si="359"/>
        <v>0</v>
      </c>
      <c r="M1233" s="133" t="s">
        <v>1101</v>
      </c>
      <c r="N1233" s="132">
        <f t="shared" si="360"/>
        <v>0</v>
      </c>
      <c r="Y1233" s="132">
        <f t="shared" si="361"/>
        <v>0</v>
      </c>
      <c r="Z1233" s="132">
        <f t="shared" si="362"/>
        <v>0</v>
      </c>
      <c r="AA1233" s="132">
        <f t="shared" si="363"/>
        <v>0</v>
      </c>
      <c r="AC1233" s="125">
        <v>20</v>
      </c>
      <c r="AD1233" s="125">
        <f t="shared" si="364"/>
        <v>0</v>
      </c>
      <c r="AE1233" s="125">
        <f t="shared" si="365"/>
        <v>0</v>
      </c>
    </row>
    <row r="1234" spans="1:31" s="90" customFormat="1" ht="11.25">
      <c r="A1234" s="131" t="s">
        <v>954</v>
      </c>
      <c r="B1234" s="131" t="s">
        <v>2010</v>
      </c>
      <c r="C1234" s="131" t="s">
        <v>3285</v>
      </c>
      <c r="D1234" s="131" t="s">
        <v>3456</v>
      </c>
      <c r="E1234" s="132">
        <v>2</v>
      </c>
      <c r="F1234" s="132">
        <v>0</v>
      </c>
      <c r="G1234" s="132">
        <f t="shared" si="356"/>
        <v>0</v>
      </c>
      <c r="H1234" s="132">
        <f t="shared" si="357"/>
        <v>0</v>
      </c>
      <c r="I1234" s="132">
        <f t="shared" si="358"/>
        <v>0</v>
      </c>
      <c r="J1234" s="132">
        <v>0</v>
      </c>
      <c r="K1234" s="132">
        <f t="shared" si="359"/>
        <v>0</v>
      </c>
      <c r="M1234" s="133" t="s">
        <v>1101</v>
      </c>
      <c r="N1234" s="132">
        <f t="shared" si="360"/>
        <v>0</v>
      </c>
      <c r="Y1234" s="132">
        <f t="shared" si="361"/>
        <v>0</v>
      </c>
      <c r="Z1234" s="132">
        <f t="shared" si="362"/>
        <v>0</v>
      </c>
      <c r="AA1234" s="132">
        <f t="shared" si="363"/>
        <v>0</v>
      </c>
      <c r="AC1234" s="125">
        <v>20</v>
      </c>
      <c r="AD1234" s="125">
        <f t="shared" si="364"/>
        <v>0</v>
      </c>
      <c r="AE1234" s="125">
        <f t="shared" si="365"/>
        <v>0</v>
      </c>
    </row>
    <row r="1235" spans="1:31" s="90" customFormat="1" ht="11.25">
      <c r="A1235" s="131" t="s">
        <v>955</v>
      </c>
      <c r="B1235" s="131" t="s">
        <v>2011</v>
      </c>
      <c r="C1235" s="131" t="s">
        <v>3286</v>
      </c>
      <c r="D1235" s="131" t="s">
        <v>3456</v>
      </c>
      <c r="E1235" s="132">
        <v>2</v>
      </c>
      <c r="F1235" s="132">
        <v>0</v>
      </c>
      <c r="G1235" s="132">
        <f t="shared" si="356"/>
        <v>0</v>
      </c>
      <c r="H1235" s="132">
        <f t="shared" si="357"/>
        <v>0</v>
      </c>
      <c r="I1235" s="132">
        <f t="shared" si="358"/>
        <v>0</v>
      </c>
      <c r="J1235" s="132">
        <v>0</v>
      </c>
      <c r="K1235" s="132">
        <f t="shared" si="359"/>
        <v>0</v>
      </c>
      <c r="M1235" s="133" t="s">
        <v>1101</v>
      </c>
      <c r="N1235" s="132">
        <f t="shared" si="360"/>
        <v>0</v>
      </c>
      <c r="Y1235" s="132">
        <f t="shared" si="361"/>
        <v>0</v>
      </c>
      <c r="Z1235" s="132">
        <f t="shared" si="362"/>
        <v>0</v>
      </c>
      <c r="AA1235" s="132">
        <f t="shared" si="363"/>
        <v>0</v>
      </c>
      <c r="AC1235" s="125">
        <v>20</v>
      </c>
      <c r="AD1235" s="125">
        <f t="shared" si="364"/>
        <v>0</v>
      </c>
      <c r="AE1235" s="125">
        <f t="shared" si="365"/>
        <v>0</v>
      </c>
    </row>
    <row r="1236" spans="1:31" s="90" customFormat="1" ht="11.25">
      <c r="A1236" s="131" t="s">
        <v>956</v>
      </c>
      <c r="B1236" s="131" t="s">
        <v>2012</v>
      </c>
      <c r="C1236" s="131" t="s">
        <v>3287</v>
      </c>
      <c r="D1236" s="131" t="s">
        <v>3456</v>
      </c>
      <c r="E1236" s="132">
        <v>2</v>
      </c>
      <c r="F1236" s="132">
        <v>0</v>
      </c>
      <c r="G1236" s="132">
        <f t="shared" si="356"/>
        <v>0</v>
      </c>
      <c r="H1236" s="132">
        <f t="shared" si="357"/>
        <v>0</v>
      </c>
      <c r="I1236" s="132">
        <f t="shared" si="358"/>
        <v>0</v>
      </c>
      <c r="J1236" s="132">
        <v>0</v>
      </c>
      <c r="K1236" s="132">
        <f t="shared" si="359"/>
        <v>0</v>
      </c>
      <c r="M1236" s="133" t="s">
        <v>1101</v>
      </c>
      <c r="N1236" s="132">
        <f t="shared" si="360"/>
        <v>0</v>
      </c>
      <c r="Y1236" s="132">
        <f t="shared" si="361"/>
        <v>0</v>
      </c>
      <c r="Z1236" s="132">
        <f t="shared" si="362"/>
        <v>0</v>
      </c>
      <c r="AA1236" s="132">
        <f t="shared" si="363"/>
        <v>0</v>
      </c>
      <c r="AC1236" s="125">
        <v>20</v>
      </c>
      <c r="AD1236" s="125">
        <f t="shared" si="364"/>
        <v>0</v>
      </c>
      <c r="AE1236" s="125">
        <f t="shared" si="365"/>
        <v>0</v>
      </c>
    </row>
    <row r="1237" spans="1:31" s="90" customFormat="1" ht="11.25">
      <c r="A1237" s="131" t="s">
        <v>957</v>
      </c>
      <c r="B1237" s="131" t="s">
        <v>2013</v>
      </c>
      <c r="C1237" s="131" t="s">
        <v>3288</v>
      </c>
      <c r="D1237" s="131" t="s">
        <v>3456</v>
      </c>
      <c r="E1237" s="132">
        <v>2</v>
      </c>
      <c r="F1237" s="132">
        <v>0</v>
      </c>
      <c r="G1237" s="132">
        <f t="shared" si="356"/>
        <v>0</v>
      </c>
      <c r="H1237" s="132">
        <f t="shared" si="357"/>
        <v>0</v>
      </c>
      <c r="I1237" s="132">
        <f t="shared" si="358"/>
        <v>0</v>
      </c>
      <c r="J1237" s="132">
        <v>0</v>
      </c>
      <c r="K1237" s="132">
        <f t="shared" si="359"/>
        <v>0</v>
      </c>
      <c r="M1237" s="133" t="s">
        <v>1101</v>
      </c>
      <c r="N1237" s="132">
        <f t="shared" si="360"/>
        <v>0</v>
      </c>
      <c r="Y1237" s="132">
        <f t="shared" si="361"/>
        <v>0</v>
      </c>
      <c r="Z1237" s="132">
        <f t="shared" si="362"/>
        <v>0</v>
      </c>
      <c r="AA1237" s="132">
        <f t="shared" si="363"/>
        <v>0</v>
      </c>
      <c r="AC1237" s="125">
        <v>20</v>
      </c>
      <c r="AD1237" s="125">
        <f t="shared" si="364"/>
        <v>0</v>
      </c>
      <c r="AE1237" s="125">
        <f t="shared" si="365"/>
        <v>0</v>
      </c>
    </row>
    <row r="1238" spans="1:31" s="90" customFormat="1" ht="11.25">
      <c r="A1238" s="131" t="s">
        <v>958</v>
      </c>
      <c r="B1238" s="131" t="s">
        <v>2014</v>
      </c>
      <c r="C1238" s="131" t="s">
        <v>3289</v>
      </c>
      <c r="D1238" s="131" t="s">
        <v>3456</v>
      </c>
      <c r="E1238" s="132">
        <v>2</v>
      </c>
      <c r="F1238" s="132">
        <v>0</v>
      </c>
      <c r="G1238" s="132">
        <f t="shared" si="356"/>
        <v>0</v>
      </c>
      <c r="H1238" s="132">
        <f t="shared" si="357"/>
        <v>0</v>
      </c>
      <c r="I1238" s="132">
        <f t="shared" si="358"/>
        <v>0</v>
      </c>
      <c r="J1238" s="132">
        <v>0</v>
      </c>
      <c r="K1238" s="132">
        <f t="shared" si="359"/>
        <v>0</v>
      </c>
      <c r="M1238" s="133" t="s">
        <v>1101</v>
      </c>
      <c r="N1238" s="132">
        <f t="shared" si="360"/>
        <v>0</v>
      </c>
      <c r="Y1238" s="132">
        <f t="shared" si="361"/>
        <v>0</v>
      </c>
      <c r="Z1238" s="132">
        <f t="shared" si="362"/>
        <v>0</v>
      </c>
      <c r="AA1238" s="132">
        <f t="shared" si="363"/>
        <v>0</v>
      </c>
      <c r="AC1238" s="125">
        <v>20</v>
      </c>
      <c r="AD1238" s="125">
        <f t="shared" si="364"/>
        <v>0</v>
      </c>
      <c r="AE1238" s="125">
        <f t="shared" si="365"/>
        <v>0</v>
      </c>
    </row>
    <row r="1239" spans="1:31" s="90" customFormat="1" ht="11.25">
      <c r="A1239" s="131" t="s">
        <v>959</v>
      </c>
      <c r="B1239" s="131" t="s">
        <v>2015</v>
      </c>
      <c r="C1239" s="131" t="s">
        <v>3290</v>
      </c>
      <c r="D1239" s="131" t="s">
        <v>3456</v>
      </c>
      <c r="E1239" s="132">
        <v>2</v>
      </c>
      <c r="F1239" s="132">
        <v>0</v>
      </c>
      <c r="G1239" s="132">
        <f t="shared" si="356"/>
        <v>0</v>
      </c>
      <c r="H1239" s="132">
        <f t="shared" si="357"/>
        <v>0</v>
      </c>
      <c r="I1239" s="132">
        <f t="shared" si="358"/>
        <v>0</v>
      </c>
      <c r="J1239" s="132">
        <v>0</v>
      </c>
      <c r="K1239" s="132">
        <f t="shared" si="359"/>
        <v>0</v>
      </c>
      <c r="M1239" s="133" t="s">
        <v>1101</v>
      </c>
      <c r="N1239" s="132">
        <f t="shared" si="360"/>
        <v>0</v>
      </c>
      <c r="Y1239" s="132">
        <f t="shared" si="361"/>
        <v>0</v>
      </c>
      <c r="Z1239" s="132">
        <f t="shared" si="362"/>
        <v>0</v>
      </c>
      <c r="AA1239" s="132">
        <f t="shared" si="363"/>
        <v>0</v>
      </c>
      <c r="AC1239" s="125">
        <v>20</v>
      </c>
      <c r="AD1239" s="125">
        <f t="shared" si="364"/>
        <v>0</v>
      </c>
      <c r="AE1239" s="125">
        <f t="shared" si="365"/>
        <v>0</v>
      </c>
    </row>
    <row r="1240" spans="1:31" s="90" customFormat="1" ht="11.25">
      <c r="A1240" s="131" t="s">
        <v>960</v>
      </c>
      <c r="B1240" s="131" t="s">
        <v>2016</v>
      </c>
      <c r="C1240" s="131" t="s">
        <v>3291</v>
      </c>
      <c r="D1240" s="131" t="s">
        <v>3456</v>
      </c>
      <c r="E1240" s="132">
        <v>2</v>
      </c>
      <c r="F1240" s="132">
        <v>0</v>
      </c>
      <c r="G1240" s="132">
        <f t="shared" si="356"/>
        <v>0</v>
      </c>
      <c r="H1240" s="132">
        <f t="shared" si="357"/>
        <v>0</v>
      </c>
      <c r="I1240" s="132">
        <f t="shared" si="358"/>
        <v>0</v>
      </c>
      <c r="J1240" s="132">
        <v>0</v>
      </c>
      <c r="K1240" s="132">
        <f t="shared" si="359"/>
        <v>0</v>
      </c>
      <c r="M1240" s="133" t="s">
        <v>1101</v>
      </c>
      <c r="N1240" s="132">
        <f t="shared" si="360"/>
        <v>0</v>
      </c>
      <c r="Y1240" s="132">
        <f t="shared" si="361"/>
        <v>0</v>
      </c>
      <c r="Z1240" s="132">
        <f t="shared" si="362"/>
        <v>0</v>
      </c>
      <c r="AA1240" s="132">
        <f t="shared" si="363"/>
        <v>0</v>
      </c>
      <c r="AC1240" s="125">
        <v>20</v>
      </c>
      <c r="AD1240" s="125">
        <f t="shared" si="364"/>
        <v>0</v>
      </c>
      <c r="AE1240" s="125">
        <f t="shared" si="365"/>
        <v>0</v>
      </c>
    </row>
    <row r="1241" spans="1:31" s="90" customFormat="1" ht="11.25">
      <c r="A1241" s="131" t="s">
        <v>961</v>
      </c>
      <c r="B1241" s="131" t="s">
        <v>2017</v>
      </c>
      <c r="C1241" s="131" t="s">
        <v>3292</v>
      </c>
      <c r="D1241" s="131" t="s">
        <v>3456</v>
      </c>
      <c r="E1241" s="132">
        <v>2</v>
      </c>
      <c r="F1241" s="132">
        <v>0</v>
      </c>
      <c r="G1241" s="132">
        <f t="shared" si="356"/>
        <v>0</v>
      </c>
      <c r="H1241" s="132">
        <f t="shared" si="357"/>
        <v>0</v>
      </c>
      <c r="I1241" s="132">
        <f t="shared" si="358"/>
        <v>0</v>
      </c>
      <c r="J1241" s="132">
        <v>0</v>
      </c>
      <c r="K1241" s="132">
        <f t="shared" si="359"/>
        <v>0</v>
      </c>
      <c r="M1241" s="133" t="s">
        <v>1101</v>
      </c>
      <c r="N1241" s="132">
        <f t="shared" si="360"/>
        <v>0</v>
      </c>
      <c r="Y1241" s="132">
        <f t="shared" si="361"/>
        <v>0</v>
      </c>
      <c r="Z1241" s="132">
        <f t="shared" si="362"/>
        <v>0</v>
      </c>
      <c r="AA1241" s="132">
        <f t="shared" si="363"/>
        <v>0</v>
      </c>
      <c r="AC1241" s="125">
        <v>20</v>
      </c>
      <c r="AD1241" s="125">
        <f t="shared" si="364"/>
        <v>0</v>
      </c>
      <c r="AE1241" s="125">
        <f t="shared" si="365"/>
        <v>0</v>
      </c>
    </row>
    <row r="1242" spans="1:31" s="90" customFormat="1" ht="11.25">
      <c r="A1242" s="131" t="s">
        <v>962</v>
      </c>
      <c r="B1242" s="131" t="s">
        <v>2018</v>
      </c>
      <c r="C1242" s="131" t="s">
        <v>3293</v>
      </c>
      <c r="D1242" s="131" t="s">
        <v>3456</v>
      </c>
      <c r="E1242" s="132">
        <v>2</v>
      </c>
      <c r="F1242" s="132">
        <v>0</v>
      </c>
      <c r="G1242" s="132">
        <f t="shared" si="356"/>
        <v>0</v>
      </c>
      <c r="H1242" s="132">
        <f t="shared" si="357"/>
        <v>0</v>
      </c>
      <c r="I1242" s="132">
        <f t="shared" si="358"/>
        <v>0</v>
      </c>
      <c r="J1242" s="132">
        <v>0</v>
      </c>
      <c r="K1242" s="132">
        <f t="shared" si="359"/>
        <v>0</v>
      </c>
      <c r="M1242" s="133" t="s">
        <v>1101</v>
      </c>
      <c r="N1242" s="132">
        <f t="shared" si="360"/>
        <v>0</v>
      </c>
      <c r="Y1242" s="132">
        <f t="shared" si="361"/>
        <v>0</v>
      </c>
      <c r="Z1242" s="132">
        <f t="shared" si="362"/>
        <v>0</v>
      </c>
      <c r="AA1242" s="132">
        <f t="shared" si="363"/>
        <v>0</v>
      </c>
      <c r="AC1242" s="125">
        <v>20</v>
      </c>
      <c r="AD1242" s="125">
        <f t="shared" si="364"/>
        <v>0</v>
      </c>
      <c r="AE1242" s="125">
        <f t="shared" si="365"/>
        <v>0</v>
      </c>
    </row>
    <row r="1243" spans="1:31" s="90" customFormat="1" ht="11.25">
      <c r="A1243" s="131" t="s">
        <v>963</v>
      </c>
      <c r="B1243" s="131" t="s">
        <v>2019</v>
      </c>
      <c r="C1243" s="131" t="s">
        <v>3294</v>
      </c>
      <c r="D1243" s="131" t="s">
        <v>3456</v>
      </c>
      <c r="E1243" s="132">
        <v>2</v>
      </c>
      <c r="F1243" s="132">
        <v>0</v>
      </c>
      <c r="G1243" s="132">
        <f t="shared" si="356"/>
        <v>0</v>
      </c>
      <c r="H1243" s="132">
        <f t="shared" si="357"/>
        <v>0</v>
      </c>
      <c r="I1243" s="132">
        <f t="shared" si="358"/>
        <v>0</v>
      </c>
      <c r="J1243" s="132">
        <v>0</v>
      </c>
      <c r="K1243" s="132">
        <f t="shared" si="359"/>
        <v>0</v>
      </c>
      <c r="M1243" s="133" t="s">
        <v>1101</v>
      </c>
      <c r="N1243" s="132">
        <f t="shared" si="360"/>
        <v>0</v>
      </c>
      <c r="Y1243" s="132">
        <f t="shared" si="361"/>
        <v>0</v>
      </c>
      <c r="Z1243" s="132">
        <f t="shared" si="362"/>
        <v>0</v>
      </c>
      <c r="AA1243" s="132">
        <f t="shared" si="363"/>
        <v>0</v>
      </c>
      <c r="AC1243" s="125">
        <v>20</v>
      </c>
      <c r="AD1243" s="125">
        <f t="shared" si="364"/>
        <v>0</v>
      </c>
      <c r="AE1243" s="125">
        <f t="shared" si="365"/>
        <v>0</v>
      </c>
    </row>
    <row r="1244" spans="1:31" s="90" customFormat="1" ht="11.25">
      <c r="A1244" s="131" t="s">
        <v>964</v>
      </c>
      <c r="B1244" s="131" t="s">
        <v>2020</v>
      </c>
      <c r="C1244" s="131" t="s">
        <v>3295</v>
      </c>
      <c r="D1244" s="131" t="s">
        <v>3455</v>
      </c>
      <c r="E1244" s="132">
        <v>5610</v>
      </c>
      <c r="F1244" s="132">
        <v>0</v>
      </c>
      <c r="G1244" s="132">
        <f t="shared" si="356"/>
        <v>0</v>
      </c>
      <c r="H1244" s="132">
        <f t="shared" si="357"/>
        <v>0</v>
      </c>
      <c r="I1244" s="132">
        <f t="shared" si="358"/>
        <v>0</v>
      </c>
      <c r="J1244" s="132">
        <v>0</v>
      </c>
      <c r="K1244" s="132">
        <f t="shared" si="359"/>
        <v>0</v>
      </c>
      <c r="M1244" s="133" t="s">
        <v>1101</v>
      </c>
      <c r="N1244" s="132">
        <f t="shared" si="360"/>
        <v>0</v>
      </c>
      <c r="Y1244" s="132">
        <f t="shared" si="361"/>
        <v>0</v>
      </c>
      <c r="Z1244" s="132">
        <f t="shared" si="362"/>
        <v>0</v>
      </c>
      <c r="AA1244" s="132">
        <f t="shared" si="363"/>
        <v>0</v>
      </c>
      <c r="AC1244" s="125">
        <v>20</v>
      </c>
      <c r="AD1244" s="125">
        <f t="shared" si="364"/>
        <v>0</v>
      </c>
      <c r="AE1244" s="125">
        <f t="shared" si="365"/>
        <v>0</v>
      </c>
    </row>
    <row r="1245" spans="1:31" s="90" customFormat="1" ht="11.25">
      <c r="A1245" s="131" t="s">
        <v>965</v>
      </c>
      <c r="B1245" s="131" t="s">
        <v>2021</v>
      </c>
      <c r="C1245" s="131" t="s">
        <v>3296</v>
      </c>
      <c r="D1245" s="131" t="s">
        <v>3455</v>
      </c>
      <c r="E1245" s="132">
        <v>250</v>
      </c>
      <c r="F1245" s="132">
        <v>0</v>
      </c>
      <c r="G1245" s="132">
        <f t="shared" si="356"/>
        <v>0</v>
      </c>
      <c r="H1245" s="132">
        <f t="shared" si="357"/>
        <v>0</v>
      </c>
      <c r="I1245" s="132">
        <f t="shared" si="358"/>
        <v>0</v>
      </c>
      <c r="J1245" s="132">
        <v>0</v>
      </c>
      <c r="K1245" s="132">
        <f t="shared" si="359"/>
        <v>0</v>
      </c>
      <c r="M1245" s="133" t="s">
        <v>1101</v>
      </c>
      <c r="N1245" s="132">
        <f t="shared" si="360"/>
        <v>0</v>
      </c>
      <c r="Y1245" s="132">
        <f t="shared" si="361"/>
        <v>0</v>
      </c>
      <c r="Z1245" s="132">
        <f t="shared" si="362"/>
        <v>0</v>
      </c>
      <c r="AA1245" s="132">
        <f t="shared" si="363"/>
        <v>0</v>
      </c>
      <c r="AC1245" s="125">
        <v>20</v>
      </c>
      <c r="AD1245" s="125">
        <f t="shared" si="364"/>
        <v>0</v>
      </c>
      <c r="AE1245" s="125">
        <f t="shared" si="365"/>
        <v>0</v>
      </c>
    </row>
    <row r="1246" spans="1:31" s="90" customFormat="1" ht="11.25">
      <c r="A1246" s="131" t="s">
        <v>966</v>
      </c>
      <c r="B1246" s="131" t="s">
        <v>2022</v>
      </c>
      <c r="C1246" s="131" t="s">
        <v>3297</v>
      </c>
      <c r="D1246" s="131" t="s">
        <v>3456</v>
      </c>
      <c r="E1246" s="132">
        <v>2</v>
      </c>
      <c r="F1246" s="132">
        <v>0</v>
      </c>
      <c r="G1246" s="132">
        <f t="shared" si="356"/>
        <v>0</v>
      </c>
      <c r="H1246" s="132">
        <f t="shared" si="357"/>
        <v>0</v>
      </c>
      <c r="I1246" s="132">
        <f t="shared" si="358"/>
        <v>0</v>
      </c>
      <c r="J1246" s="132">
        <v>0</v>
      </c>
      <c r="K1246" s="132">
        <f t="shared" si="359"/>
        <v>0</v>
      </c>
      <c r="M1246" s="133" t="s">
        <v>1101</v>
      </c>
      <c r="N1246" s="132">
        <f t="shared" si="360"/>
        <v>0</v>
      </c>
      <c r="Y1246" s="132">
        <f t="shared" si="361"/>
        <v>0</v>
      </c>
      <c r="Z1246" s="132">
        <f t="shared" si="362"/>
        <v>0</v>
      </c>
      <c r="AA1246" s="132">
        <f t="shared" si="363"/>
        <v>0</v>
      </c>
      <c r="AC1246" s="125">
        <v>20</v>
      </c>
      <c r="AD1246" s="125">
        <f t="shared" si="364"/>
        <v>0</v>
      </c>
      <c r="AE1246" s="125">
        <f t="shared" si="365"/>
        <v>0</v>
      </c>
    </row>
    <row r="1247" spans="1:31" s="90" customFormat="1" ht="11.25">
      <c r="A1247" s="131" t="s">
        <v>967</v>
      </c>
      <c r="B1247" s="131" t="s">
        <v>2023</v>
      </c>
      <c r="C1247" s="131" t="s">
        <v>3298</v>
      </c>
      <c r="D1247" s="131" t="s">
        <v>3456</v>
      </c>
      <c r="E1247" s="132">
        <v>33</v>
      </c>
      <c r="F1247" s="132">
        <v>0</v>
      </c>
      <c r="G1247" s="132">
        <f t="shared" si="356"/>
        <v>0</v>
      </c>
      <c r="H1247" s="132">
        <f t="shared" si="357"/>
        <v>0</v>
      </c>
      <c r="I1247" s="132">
        <f t="shared" si="358"/>
        <v>0</v>
      </c>
      <c r="J1247" s="132">
        <v>0</v>
      </c>
      <c r="K1247" s="132">
        <f t="shared" si="359"/>
        <v>0</v>
      </c>
      <c r="M1247" s="133" t="s">
        <v>1101</v>
      </c>
      <c r="N1247" s="132">
        <f t="shared" si="360"/>
        <v>0</v>
      </c>
      <c r="Y1247" s="132">
        <f t="shared" si="361"/>
        <v>0</v>
      </c>
      <c r="Z1247" s="132">
        <f t="shared" si="362"/>
        <v>0</v>
      </c>
      <c r="AA1247" s="132">
        <f t="shared" si="363"/>
        <v>0</v>
      </c>
      <c r="AC1247" s="125">
        <v>20</v>
      </c>
      <c r="AD1247" s="125">
        <f t="shared" si="364"/>
        <v>0</v>
      </c>
      <c r="AE1247" s="125">
        <f t="shared" si="365"/>
        <v>0</v>
      </c>
    </row>
    <row r="1248" spans="1:31" s="90" customFormat="1" ht="11.25">
      <c r="A1248" s="131" t="s">
        <v>968</v>
      </c>
      <c r="B1248" s="131" t="s">
        <v>2024</v>
      </c>
      <c r="C1248" s="131" t="s">
        <v>3299</v>
      </c>
      <c r="D1248" s="131" t="s">
        <v>3456</v>
      </c>
      <c r="E1248" s="132">
        <v>6</v>
      </c>
      <c r="F1248" s="132">
        <v>0</v>
      </c>
      <c r="G1248" s="132">
        <f t="shared" si="356"/>
        <v>0</v>
      </c>
      <c r="H1248" s="132">
        <f t="shared" si="357"/>
        <v>0</v>
      </c>
      <c r="I1248" s="132">
        <f t="shared" si="358"/>
        <v>0</v>
      </c>
      <c r="J1248" s="132">
        <v>0</v>
      </c>
      <c r="K1248" s="132">
        <f t="shared" si="359"/>
        <v>0</v>
      </c>
      <c r="M1248" s="133" t="s">
        <v>1101</v>
      </c>
      <c r="N1248" s="132">
        <f t="shared" si="360"/>
        <v>0</v>
      </c>
      <c r="Y1248" s="132">
        <f t="shared" si="361"/>
        <v>0</v>
      </c>
      <c r="Z1248" s="132">
        <f t="shared" si="362"/>
        <v>0</v>
      </c>
      <c r="AA1248" s="132">
        <f t="shared" si="363"/>
        <v>0</v>
      </c>
      <c r="AC1248" s="125">
        <v>20</v>
      </c>
      <c r="AD1248" s="125">
        <f t="shared" si="364"/>
        <v>0</v>
      </c>
      <c r="AE1248" s="125">
        <f t="shared" si="365"/>
        <v>0</v>
      </c>
    </row>
    <row r="1249" spans="1:31" s="90" customFormat="1" ht="11.25">
      <c r="A1249" s="131" t="s">
        <v>969</v>
      </c>
      <c r="B1249" s="131" t="s">
        <v>2025</v>
      </c>
      <c r="C1249" s="131" t="s">
        <v>3300</v>
      </c>
      <c r="D1249" s="131" t="s">
        <v>3456</v>
      </c>
      <c r="E1249" s="132">
        <v>2</v>
      </c>
      <c r="F1249" s="132">
        <v>0</v>
      </c>
      <c r="G1249" s="132">
        <f t="shared" si="356"/>
        <v>0</v>
      </c>
      <c r="H1249" s="132">
        <f t="shared" si="357"/>
        <v>0</v>
      </c>
      <c r="I1249" s="132">
        <f t="shared" si="358"/>
        <v>0</v>
      </c>
      <c r="J1249" s="132">
        <v>0</v>
      </c>
      <c r="K1249" s="132">
        <f t="shared" si="359"/>
        <v>0</v>
      </c>
      <c r="M1249" s="133" t="s">
        <v>1101</v>
      </c>
      <c r="N1249" s="132">
        <f t="shared" si="360"/>
        <v>0</v>
      </c>
      <c r="Y1249" s="132">
        <f t="shared" si="361"/>
        <v>0</v>
      </c>
      <c r="Z1249" s="132">
        <f t="shared" si="362"/>
        <v>0</v>
      </c>
      <c r="AA1249" s="132">
        <f t="shared" si="363"/>
        <v>0</v>
      </c>
      <c r="AC1249" s="125">
        <v>20</v>
      </c>
      <c r="AD1249" s="125">
        <f t="shared" si="364"/>
        <v>0</v>
      </c>
      <c r="AE1249" s="125">
        <f t="shared" si="365"/>
        <v>0</v>
      </c>
    </row>
    <row r="1250" spans="1:31" s="90" customFormat="1" ht="11.25">
      <c r="A1250" s="131" t="s">
        <v>970</v>
      </c>
      <c r="B1250" s="131" t="s">
        <v>2026</v>
      </c>
      <c r="C1250" s="131" t="s">
        <v>3301</v>
      </c>
      <c r="D1250" s="131" t="s">
        <v>3456</v>
      </c>
      <c r="E1250" s="132">
        <v>10</v>
      </c>
      <c r="F1250" s="132">
        <v>0</v>
      </c>
      <c r="G1250" s="132">
        <f t="shared" si="356"/>
        <v>0</v>
      </c>
      <c r="H1250" s="132">
        <f t="shared" si="357"/>
        <v>0</v>
      </c>
      <c r="I1250" s="132">
        <f t="shared" si="358"/>
        <v>0</v>
      </c>
      <c r="J1250" s="132">
        <v>0.0005</v>
      </c>
      <c r="K1250" s="132">
        <f t="shared" si="359"/>
        <v>0.005</v>
      </c>
      <c r="M1250" s="133" t="s">
        <v>1101</v>
      </c>
      <c r="N1250" s="132">
        <f t="shared" si="360"/>
        <v>0</v>
      </c>
      <c r="Y1250" s="132">
        <f t="shared" si="361"/>
        <v>0</v>
      </c>
      <c r="Z1250" s="132">
        <f t="shared" si="362"/>
        <v>0</v>
      </c>
      <c r="AA1250" s="132">
        <f t="shared" si="363"/>
        <v>0</v>
      </c>
      <c r="AC1250" s="125">
        <v>20</v>
      </c>
      <c r="AD1250" s="125">
        <f t="shared" si="364"/>
        <v>0</v>
      </c>
      <c r="AE1250" s="125">
        <f t="shared" si="365"/>
        <v>0</v>
      </c>
    </row>
    <row r="1251" spans="1:31" s="90" customFormat="1" ht="11.25">
      <c r="A1251" s="131" t="s">
        <v>971</v>
      </c>
      <c r="B1251" s="131" t="s">
        <v>2027</v>
      </c>
      <c r="C1251" s="131" t="s">
        <v>3302</v>
      </c>
      <c r="D1251" s="131" t="s">
        <v>3456</v>
      </c>
      <c r="E1251" s="132">
        <v>10</v>
      </c>
      <c r="F1251" s="132">
        <v>0</v>
      </c>
      <c r="G1251" s="132">
        <f t="shared" si="356"/>
        <v>0</v>
      </c>
      <c r="H1251" s="132">
        <f t="shared" si="357"/>
        <v>0</v>
      </c>
      <c r="I1251" s="132">
        <f t="shared" si="358"/>
        <v>0</v>
      </c>
      <c r="J1251" s="132">
        <v>0.00085</v>
      </c>
      <c r="K1251" s="132">
        <f t="shared" si="359"/>
        <v>0.008499999999999999</v>
      </c>
      <c r="M1251" s="133" t="s">
        <v>1101</v>
      </c>
      <c r="N1251" s="132">
        <f t="shared" si="360"/>
        <v>0</v>
      </c>
      <c r="Y1251" s="132">
        <f t="shared" si="361"/>
        <v>0</v>
      </c>
      <c r="Z1251" s="132">
        <f t="shared" si="362"/>
        <v>0</v>
      </c>
      <c r="AA1251" s="132">
        <f t="shared" si="363"/>
        <v>0</v>
      </c>
      <c r="AC1251" s="125">
        <v>20</v>
      </c>
      <c r="AD1251" s="125">
        <f t="shared" si="364"/>
        <v>0</v>
      </c>
      <c r="AE1251" s="125">
        <f t="shared" si="365"/>
        <v>0</v>
      </c>
    </row>
    <row r="1252" spans="1:31" s="90" customFormat="1" ht="11.25">
      <c r="A1252" s="122" t="s">
        <v>972</v>
      </c>
      <c r="B1252" s="122" t="s">
        <v>2028</v>
      </c>
      <c r="C1252" s="122" t="s">
        <v>3303</v>
      </c>
      <c r="D1252" s="122" t="s">
        <v>3455</v>
      </c>
      <c r="E1252" s="123">
        <v>500</v>
      </c>
      <c r="F1252" s="123">
        <v>0</v>
      </c>
      <c r="G1252" s="123">
        <f t="shared" si="356"/>
        <v>0</v>
      </c>
      <c r="H1252" s="123">
        <f t="shared" si="357"/>
        <v>0</v>
      </c>
      <c r="I1252" s="123">
        <f t="shared" si="358"/>
        <v>0</v>
      </c>
      <c r="J1252" s="123">
        <v>0</v>
      </c>
      <c r="K1252" s="123">
        <f t="shared" si="359"/>
        <v>0</v>
      </c>
      <c r="M1252" s="124" t="s">
        <v>8</v>
      </c>
      <c r="N1252" s="123">
        <f t="shared" si="360"/>
        <v>0</v>
      </c>
      <c r="Y1252" s="123">
        <f t="shared" si="361"/>
        <v>0</v>
      </c>
      <c r="Z1252" s="123">
        <f t="shared" si="362"/>
        <v>0</v>
      </c>
      <c r="AA1252" s="123">
        <f t="shared" si="363"/>
        <v>0</v>
      </c>
      <c r="AC1252" s="125">
        <v>20</v>
      </c>
      <c r="AD1252" s="125">
        <f>F1252*0</f>
        <v>0</v>
      </c>
      <c r="AE1252" s="125">
        <f>F1252*(1-0)</f>
        <v>0</v>
      </c>
    </row>
    <row r="1253" spans="1:31" s="90" customFormat="1" ht="11.25">
      <c r="A1253" s="131" t="s">
        <v>973</v>
      </c>
      <c r="B1253" s="131" t="s">
        <v>2029</v>
      </c>
      <c r="C1253" s="131" t="s">
        <v>3304</v>
      </c>
      <c r="D1253" s="131" t="s">
        <v>3456</v>
      </c>
      <c r="E1253" s="132">
        <v>2</v>
      </c>
      <c r="F1253" s="132">
        <v>0</v>
      </c>
      <c r="G1253" s="132">
        <f t="shared" si="356"/>
        <v>0</v>
      </c>
      <c r="H1253" s="132">
        <f t="shared" si="357"/>
        <v>0</v>
      </c>
      <c r="I1253" s="132">
        <f t="shared" si="358"/>
        <v>0</v>
      </c>
      <c r="J1253" s="132">
        <v>5E-05</v>
      </c>
      <c r="K1253" s="132">
        <f t="shared" si="359"/>
        <v>0.0001</v>
      </c>
      <c r="M1253" s="133" t="s">
        <v>1101</v>
      </c>
      <c r="N1253" s="132">
        <f t="shared" si="360"/>
        <v>0</v>
      </c>
      <c r="Y1253" s="132">
        <f t="shared" si="361"/>
        <v>0</v>
      </c>
      <c r="Z1253" s="132">
        <f t="shared" si="362"/>
        <v>0</v>
      </c>
      <c r="AA1253" s="132">
        <f t="shared" si="363"/>
        <v>0</v>
      </c>
      <c r="AC1253" s="125">
        <v>20</v>
      </c>
      <c r="AD1253" s="125">
        <f aca="true" t="shared" si="366" ref="AD1253:AD1272">F1253*1</f>
        <v>0</v>
      </c>
      <c r="AE1253" s="125">
        <f aca="true" t="shared" si="367" ref="AE1253:AE1272">F1253*(1-1)</f>
        <v>0</v>
      </c>
    </row>
    <row r="1254" spans="1:31" s="90" customFormat="1" ht="11.25">
      <c r="A1254" s="131" t="s">
        <v>974</v>
      </c>
      <c r="B1254" s="131" t="s">
        <v>2030</v>
      </c>
      <c r="C1254" s="131" t="s">
        <v>3305</v>
      </c>
      <c r="D1254" s="131" t="s">
        <v>3456</v>
      </c>
      <c r="E1254" s="132">
        <v>2</v>
      </c>
      <c r="F1254" s="132">
        <v>0</v>
      </c>
      <c r="G1254" s="132">
        <f aca="true" t="shared" si="368" ref="G1254:G1272">ROUND(E1254*AD1254,2)</f>
        <v>0</v>
      </c>
      <c r="H1254" s="132">
        <f aca="true" t="shared" si="369" ref="H1254:H1285">I1254-G1254</f>
        <v>0</v>
      </c>
      <c r="I1254" s="132">
        <f aca="true" t="shared" si="370" ref="I1254:I1272">ROUND(E1254*F1254,2)</f>
        <v>0</v>
      </c>
      <c r="J1254" s="132">
        <v>7E-05</v>
      </c>
      <c r="K1254" s="132">
        <f aca="true" t="shared" si="371" ref="K1254:K1285">E1254*J1254</f>
        <v>0.00014</v>
      </c>
      <c r="M1254" s="133" t="s">
        <v>1101</v>
      </c>
      <c r="N1254" s="132">
        <f aca="true" t="shared" si="372" ref="N1254:N1285">IF(M1254="5",H1254,0)</f>
        <v>0</v>
      </c>
      <c r="Y1254" s="132">
        <f aca="true" t="shared" si="373" ref="Y1254:Y1272">IF(AC1254=0,I1254,0)</f>
        <v>0</v>
      </c>
      <c r="Z1254" s="132">
        <f aca="true" t="shared" si="374" ref="Z1254:Z1272">IF(AC1254=14,I1254,0)</f>
        <v>0</v>
      </c>
      <c r="AA1254" s="132">
        <f aca="true" t="shared" si="375" ref="AA1254:AA1272">IF(AC1254=20,I1254,0)</f>
        <v>0</v>
      </c>
      <c r="AC1254" s="125">
        <v>20</v>
      </c>
      <c r="AD1254" s="125">
        <f t="shared" si="366"/>
        <v>0</v>
      </c>
      <c r="AE1254" s="125">
        <f t="shared" si="367"/>
        <v>0</v>
      </c>
    </row>
    <row r="1255" spans="1:31" s="90" customFormat="1" ht="11.25">
      <c r="A1255" s="131" t="s">
        <v>975</v>
      </c>
      <c r="B1255" s="131" t="s">
        <v>2031</v>
      </c>
      <c r="C1255" s="131" t="s">
        <v>3306</v>
      </c>
      <c r="D1255" s="131" t="s">
        <v>3456</v>
      </c>
      <c r="E1255" s="132">
        <v>2</v>
      </c>
      <c r="F1255" s="132">
        <v>0</v>
      </c>
      <c r="G1255" s="132">
        <f t="shared" si="368"/>
        <v>0</v>
      </c>
      <c r="H1255" s="132">
        <f t="shared" si="369"/>
        <v>0</v>
      </c>
      <c r="I1255" s="132">
        <f t="shared" si="370"/>
        <v>0</v>
      </c>
      <c r="J1255" s="132">
        <v>0.0007</v>
      </c>
      <c r="K1255" s="132">
        <f t="shared" si="371"/>
        <v>0.0014</v>
      </c>
      <c r="M1255" s="133" t="s">
        <v>1101</v>
      </c>
      <c r="N1255" s="132">
        <f t="shared" si="372"/>
        <v>0</v>
      </c>
      <c r="Y1255" s="132">
        <f t="shared" si="373"/>
        <v>0</v>
      </c>
      <c r="Z1255" s="132">
        <f t="shared" si="374"/>
        <v>0</v>
      </c>
      <c r="AA1255" s="132">
        <f t="shared" si="375"/>
        <v>0</v>
      </c>
      <c r="AC1255" s="125">
        <v>20</v>
      </c>
      <c r="AD1255" s="125">
        <f t="shared" si="366"/>
        <v>0</v>
      </c>
      <c r="AE1255" s="125">
        <f t="shared" si="367"/>
        <v>0</v>
      </c>
    </row>
    <row r="1256" spans="1:31" s="90" customFormat="1" ht="11.25">
      <c r="A1256" s="131" t="s">
        <v>976</v>
      </c>
      <c r="B1256" s="131" t="s">
        <v>2032</v>
      </c>
      <c r="C1256" s="131" t="s">
        <v>3307</v>
      </c>
      <c r="D1256" s="131" t="s">
        <v>3456</v>
      </c>
      <c r="E1256" s="132">
        <v>2</v>
      </c>
      <c r="F1256" s="132">
        <v>0</v>
      </c>
      <c r="G1256" s="132">
        <f t="shared" si="368"/>
        <v>0</v>
      </c>
      <c r="H1256" s="132">
        <f t="shared" si="369"/>
        <v>0</v>
      </c>
      <c r="I1256" s="132">
        <f t="shared" si="370"/>
        <v>0</v>
      </c>
      <c r="J1256" s="132">
        <v>0.0005</v>
      </c>
      <c r="K1256" s="132">
        <f t="shared" si="371"/>
        <v>0.001</v>
      </c>
      <c r="M1256" s="133" t="s">
        <v>1101</v>
      </c>
      <c r="N1256" s="132">
        <f t="shared" si="372"/>
        <v>0</v>
      </c>
      <c r="Y1256" s="132">
        <f t="shared" si="373"/>
        <v>0</v>
      </c>
      <c r="Z1256" s="132">
        <f t="shared" si="374"/>
        <v>0</v>
      </c>
      <c r="AA1256" s="132">
        <f t="shared" si="375"/>
        <v>0</v>
      </c>
      <c r="AC1256" s="125">
        <v>20</v>
      </c>
      <c r="AD1256" s="125">
        <f t="shared" si="366"/>
        <v>0</v>
      </c>
      <c r="AE1256" s="125">
        <f t="shared" si="367"/>
        <v>0</v>
      </c>
    </row>
    <row r="1257" spans="1:31" s="90" customFormat="1" ht="11.25">
      <c r="A1257" s="131" t="s">
        <v>977</v>
      </c>
      <c r="B1257" s="131" t="s">
        <v>2033</v>
      </c>
      <c r="C1257" s="131" t="s">
        <v>3308</v>
      </c>
      <c r="D1257" s="131" t="s">
        <v>3456</v>
      </c>
      <c r="E1257" s="132">
        <v>6</v>
      </c>
      <c r="F1257" s="132">
        <v>0</v>
      </c>
      <c r="G1257" s="132">
        <f t="shared" si="368"/>
        <v>0</v>
      </c>
      <c r="H1257" s="132">
        <f t="shared" si="369"/>
        <v>0</v>
      </c>
      <c r="I1257" s="132">
        <f t="shared" si="370"/>
        <v>0</v>
      </c>
      <c r="J1257" s="132">
        <v>0.0011</v>
      </c>
      <c r="K1257" s="132">
        <f t="shared" si="371"/>
        <v>0.0066</v>
      </c>
      <c r="M1257" s="133" t="s">
        <v>1101</v>
      </c>
      <c r="N1257" s="132">
        <f t="shared" si="372"/>
        <v>0</v>
      </c>
      <c r="Y1257" s="132">
        <f t="shared" si="373"/>
        <v>0</v>
      </c>
      <c r="Z1257" s="132">
        <f t="shared" si="374"/>
        <v>0</v>
      </c>
      <c r="AA1257" s="132">
        <f t="shared" si="375"/>
        <v>0</v>
      </c>
      <c r="AC1257" s="125">
        <v>20</v>
      </c>
      <c r="AD1257" s="125">
        <f t="shared" si="366"/>
        <v>0</v>
      </c>
      <c r="AE1257" s="125">
        <f t="shared" si="367"/>
        <v>0</v>
      </c>
    </row>
    <row r="1258" spans="1:31" s="90" customFormat="1" ht="11.25">
      <c r="A1258" s="131" t="s">
        <v>978</v>
      </c>
      <c r="B1258" s="131" t="s">
        <v>2034</v>
      </c>
      <c r="C1258" s="131" t="s">
        <v>3309</v>
      </c>
      <c r="D1258" s="131" t="s">
        <v>3456</v>
      </c>
      <c r="E1258" s="132">
        <v>1</v>
      </c>
      <c r="F1258" s="132">
        <v>0</v>
      </c>
      <c r="G1258" s="132">
        <f t="shared" si="368"/>
        <v>0</v>
      </c>
      <c r="H1258" s="132">
        <f t="shared" si="369"/>
        <v>0</v>
      </c>
      <c r="I1258" s="132">
        <f t="shared" si="370"/>
        <v>0</v>
      </c>
      <c r="J1258" s="132">
        <v>0.00017</v>
      </c>
      <c r="K1258" s="132">
        <f t="shared" si="371"/>
        <v>0.00017</v>
      </c>
      <c r="M1258" s="133" t="s">
        <v>1101</v>
      </c>
      <c r="N1258" s="132">
        <f t="shared" si="372"/>
        <v>0</v>
      </c>
      <c r="Y1258" s="132">
        <f t="shared" si="373"/>
        <v>0</v>
      </c>
      <c r="Z1258" s="132">
        <f t="shared" si="374"/>
        <v>0</v>
      </c>
      <c r="AA1258" s="132">
        <f t="shared" si="375"/>
        <v>0</v>
      </c>
      <c r="AC1258" s="125">
        <v>20</v>
      </c>
      <c r="AD1258" s="125">
        <f t="shared" si="366"/>
        <v>0</v>
      </c>
      <c r="AE1258" s="125">
        <f t="shared" si="367"/>
        <v>0</v>
      </c>
    </row>
    <row r="1259" spans="1:31" s="90" customFormat="1" ht="11.25">
      <c r="A1259" s="131" t="s">
        <v>979</v>
      </c>
      <c r="B1259" s="131" t="s">
        <v>2035</v>
      </c>
      <c r="C1259" s="131" t="s">
        <v>3310</v>
      </c>
      <c r="D1259" s="131" t="s">
        <v>3456</v>
      </c>
      <c r="E1259" s="132">
        <v>1</v>
      </c>
      <c r="F1259" s="132">
        <v>0</v>
      </c>
      <c r="G1259" s="132">
        <f t="shared" si="368"/>
        <v>0</v>
      </c>
      <c r="H1259" s="132">
        <f t="shared" si="369"/>
        <v>0</v>
      </c>
      <c r="I1259" s="132">
        <f t="shared" si="370"/>
        <v>0</v>
      </c>
      <c r="J1259" s="132">
        <v>0.00039</v>
      </c>
      <c r="K1259" s="132">
        <f t="shared" si="371"/>
        <v>0.00039</v>
      </c>
      <c r="M1259" s="133" t="s">
        <v>1101</v>
      </c>
      <c r="N1259" s="132">
        <f t="shared" si="372"/>
        <v>0</v>
      </c>
      <c r="Y1259" s="132">
        <f t="shared" si="373"/>
        <v>0</v>
      </c>
      <c r="Z1259" s="132">
        <f t="shared" si="374"/>
        <v>0</v>
      </c>
      <c r="AA1259" s="132">
        <f t="shared" si="375"/>
        <v>0</v>
      </c>
      <c r="AC1259" s="125">
        <v>20</v>
      </c>
      <c r="AD1259" s="125">
        <f t="shared" si="366"/>
        <v>0</v>
      </c>
      <c r="AE1259" s="125">
        <f t="shared" si="367"/>
        <v>0</v>
      </c>
    </row>
    <row r="1260" spans="1:31" s="90" customFormat="1" ht="11.25">
      <c r="A1260" s="131" t="s">
        <v>980</v>
      </c>
      <c r="B1260" s="131" t="s">
        <v>2036</v>
      </c>
      <c r="C1260" s="131" t="s">
        <v>3311</v>
      </c>
      <c r="D1260" s="131" t="s">
        <v>3455</v>
      </c>
      <c r="E1260" s="132">
        <v>58</v>
      </c>
      <c r="F1260" s="132">
        <v>0</v>
      </c>
      <c r="G1260" s="132">
        <f t="shared" si="368"/>
        <v>0</v>
      </c>
      <c r="H1260" s="132">
        <f t="shared" si="369"/>
        <v>0</v>
      </c>
      <c r="I1260" s="132">
        <f t="shared" si="370"/>
        <v>0</v>
      </c>
      <c r="J1260" s="132">
        <v>0.001</v>
      </c>
      <c r="K1260" s="132">
        <f t="shared" si="371"/>
        <v>0.058</v>
      </c>
      <c r="M1260" s="133" t="s">
        <v>1101</v>
      </c>
      <c r="N1260" s="132">
        <f t="shared" si="372"/>
        <v>0</v>
      </c>
      <c r="Y1260" s="132">
        <f t="shared" si="373"/>
        <v>0</v>
      </c>
      <c r="Z1260" s="132">
        <f t="shared" si="374"/>
        <v>0</v>
      </c>
      <c r="AA1260" s="132">
        <f t="shared" si="375"/>
        <v>0</v>
      </c>
      <c r="AC1260" s="125">
        <v>20</v>
      </c>
      <c r="AD1260" s="125">
        <f t="shared" si="366"/>
        <v>0</v>
      </c>
      <c r="AE1260" s="125">
        <f t="shared" si="367"/>
        <v>0</v>
      </c>
    </row>
    <row r="1261" spans="1:31" s="90" customFormat="1" ht="11.25">
      <c r="A1261" s="131" t="s">
        <v>981</v>
      </c>
      <c r="B1261" s="131" t="s">
        <v>2037</v>
      </c>
      <c r="C1261" s="131" t="s">
        <v>3312</v>
      </c>
      <c r="D1261" s="131" t="s">
        <v>3456</v>
      </c>
      <c r="E1261" s="132">
        <v>1</v>
      </c>
      <c r="F1261" s="132">
        <v>0</v>
      </c>
      <c r="G1261" s="132">
        <f t="shared" si="368"/>
        <v>0</v>
      </c>
      <c r="H1261" s="132">
        <f t="shared" si="369"/>
        <v>0</v>
      </c>
      <c r="I1261" s="132">
        <f t="shared" si="370"/>
        <v>0</v>
      </c>
      <c r="J1261" s="132">
        <v>0.00012</v>
      </c>
      <c r="K1261" s="132">
        <f t="shared" si="371"/>
        <v>0.00012</v>
      </c>
      <c r="M1261" s="133" t="s">
        <v>1101</v>
      </c>
      <c r="N1261" s="132">
        <f t="shared" si="372"/>
        <v>0</v>
      </c>
      <c r="Y1261" s="132">
        <f t="shared" si="373"/>
        <v>0</v>
      </c>
      <c r="Z1261" s="132">
        <f t="shared" si="374"/>
        <v>0</v>
      </c>
      <c r="AA1261" s="132">
        <f t="shared" si="375"/>
        <v>0</v>
      </c>
      <c r="AC1261" s="125">
        <v>20</v>
      </c>
      <c r="AD1261" s="125">
        <f t="shared" si="366"/>
        <v>0</v>
      </c>
      <c r="AE1261" s="125">
        <f t="shared" si="367"/>
        <v>0</v>
      </c>
    </row>
    <row r="1262" spans="1:31" s="90" customFormat="1" ht="11.25">
      <c r="A1262" s="131" t="s">
        <v>982</v>
      </c>
      <c r="B1262" s="131" t="s">
        <v>2038</v>
      </c>
      <c r="C1262" s="131" t="s">
        <v>3313</v>
      </c>
      <c r="D1262" s="131" t="s">
        <v>3456</v>
      </c>
      <c r="E1262" s="132">
        <v>2</v>
      </c>
      <c r="F1262" s="132">
        <v>0</v>
      </c>
      <c r="G1262" s="132">
        <f t="shared" si="368"/>
        <v>0</v>
      </c>
      <c r="H1262" s="132">
        <f t="shared" si="369"/>
        <v>0</v>
      </c>
      <c r="I1262" s="132">
        <f t="shared" si="370"/>
        <v>0</v>
      </c>
      <c r="J1262" s="132">
        <v>0.00249</v>
      </c>
      <c r="K1262" s="132">
        <f t="shared" si="371"/>
        <v>0.00498</v>
      </c>
      <c r="M1262" s="133" t="s">
        <v>1101</v>
      </c>
      <c r="N1262" s="132">
        <f t="shared" si="372"/>
        <v>0</v>
      </c>
      <c r="Y1262" s="132">
        <f t="shared" si="373"/>
        <v>0</v>
      </c>
      <c r="Z1262" s="132">
        <f t="shared" si="374"/>
        <v>0</v>
      </c>
      <c r="AA1262" s="132">
        <f t="shared" si="375"/>
        <v>0</v>
      </c>
      <c r="AC1262" s="125">
        <v>20</v>
      </c>
      <c r="AD1262" s="125">
        <f t="shared" si="366"/>
        <v>0</v>
      </c>
      <c r="AE1262" s="125">
        <f t="shared" si="367"/>
        <v>0</v>
      </c>
    </row>
    <row r="1263" spans="1:31" s="90" customFormat="1" ht="11.25">
      <c r="A1263" s="131" t="s">
        <v>983</v>
      </c>
      <c r="B1263" s="131" t="s">
        <v>2039</v>
      </c>
      <c r="C1263" s="131" t="s">
        <v>3314</v>
      </c>
      <c r="D1263" s="131" t="s">
        <v>3456</v>
      </c>
      <c r="E1263" s="132">
        <v>58</v>
      </c>
      <c r="F1263" s="132">
        <v>0</v>
      </c>
      <c r="G1263" s="132">
        <f t="shared" si="368"/>
        <v>0</v>
      </c>
      <c r="H1263" s="132">
        <f t="shared" si="369"/>
        <v>0</v>
      </c>
      <c r="I1263" s="132">
        <f t="shared" si="370"/>
        <v>0</v>
      </c>
      <c r="J1263" s="132">
        <v>0.0009</v>
      </c>
      <c r="K1263" s="132">
        <f t="shared" si="371"/>
        <v>0.052199999999999996</v>
      </c>
      <c r="M1263" s="133" t="s">
        <v>1101</v>
      </c>
      <c r="N1263" s="132">
        <f t="shared" si="372"/>
        <v>0</v>
      </c>
      <c r="Y1263" s="132">
        <f t="shared" si="373"/>
        <v>0</v>
      </c>
      <c r="Z1263" s="132">
        <f t="shared" si="374"/>
        <v>0</v>
      </c>
      <c r="AA1263" s="132">
        <f t="shared" si="375"/>
        <v>0</v>
      </c>
      <c r="AC1263" s="125">
        <v>20</v>
      </c>
      <c r="AD1263" s="125">
        <f t="shared" si="366"/>
        <v>0</v>
      </c>
      <c r="AE1263" s="125">
        <f t="shared" si="367"/>
        <v>0</v>
      </c>
    </row>
    <row r="1264" spans="1:31" s="90" customFormat="1" ht="11.25">
      <c r="A1264" s="131" t="s">
        <v>984</v>
      </c>
      <c r="B1264" s="131" t="s">
        <v>2040</v>
      </c>
      <c r="C1264" s="131" t="s">
        <v>3315</v>
      </c>
      <c r="D1264" s="131" t="s">
        <v>3456</v>
      </c>
      <c r="E1264" s="132">
        <v>1</v>
      </c>
      <c r="F1264" s="132">
        <v>0</v>
      </c>
      <c r="G1264" s="132">
        <f t="shared" si="368"/>
        <v>0</v>
      </c>
      <c r="H1264" s="132">
        <f t="shared" si="369"/>
        <v>0</v>
      </c>
      <c r="I1264" s="132">
        <f t="shared" si="370"/>
        <v>0</v>
      </c>
      <c r="J1264" s="132">
        <v>0.00031</v>
      </c>
      <c r="K1264" s="132">
        <f t="shared" si="371"/>
        <v>0.00031</v>
      </c>
      <c r="M1264" s="133" t="s">
        <v>1101</v>
      </c>
      <c r="N1264" s="132">
        <f t="shared" si="372"/>
        <v>0</v>
      </c>
      <c r="Y1264" s="132">
        <f t="shared" si="373"/>
        <v>0</v>
      </c>
      <c r="Z1264" s="132">
        <f t="shared" si="374"/>
        <v>0</v>
      </c>
      <c r="AA1264" s="132">
        <f t="shared" si="375"/>
        <v>0</v>
      </c>
      <c r="AC1264" s="125">
        <v>20</v>
      </c>
      <c r="AD1264" s="125">
        <f t="shared" si="366"/>
        <v>0</v>
      </c>
      <c r="AE1264" s="125">
        <f t="shared" si="367"/>
        <v>0</v>
      </c>
    </row>
    <row r="1265" spans="1:31" s="90" customFormat="1" ht="11.25">
      <c r="A1265" s="131" t="s">
        <v>985</v>
      </c>
      <c r="B1265" s="131" t="s">
        <v>2041</v>
      </c>
      <c r="C1265" s="131" t="s">
        <v>3316</v>
      </c>
      <c r="D1265" s="131" t="s">
        <v>3456</v>
      </c>
      <c r="E1265" s="132">
        <v>2</v>
      </c>
      <c r="F1265" s="132">
        <v>0</v>
      </c>
      <c r="G1265" s="132">
        <f t="shared" si="368"/>
        <v>0</v>
      </c>
      <c r="H1265" s="132">
        <f t="shared" si="369"/>
        <v>0</v>
      </c>
      <c r="I1265" s="132">
        <f t="shared" si="370"/>
        <v>0</v>
      </c>
      <c r="J1265" s="132">
        <v>0.00325</v>
      </c>
      <c r="K1265" s="132">
        <f t="shared" si="371"/>
        <v>0.0065</v>
      </c>
      <c r="M1265" s="133" t="s">
        <v>1101</v>
      </c>
      <c r="N1265" s="132">
        <f t="shared" si="372"/>
        <v>0</v>
      </c>
      <c r="Y1265" s="132">
        <f t="shared" si="373"/>
        <v>0</v>
      </c>
      <c r="Z1265" s="132">
        <f t="shared" si="374"/>
        <v>0</v>
      </c>
      <c r="AA1265" s="132">
        <f t="shared" si="375"/>
        <v>0</v>
      </c>
      <c r="AC1265" s="125">
        <v>20</v>
      </c>
      <c r="AD1265" s="125">
        <f t="shared" si="366"/>
        <v>0</v>
      </c>
      <c r="AE1265" s="125">
        <f t="shared" si="367"/>
        <v>0</v>
      </c>
    </row>
    <row r="1266" spans="1:31" s="90" customFormat="1" ht="11.25">
      <c r="A1266" s="131" t="s">
        <v>986</v>
      </c>
      <c r="B1266" s="131" t="s">
        <v>2042</v>
      </c>
      <c r="C1266" s="131" t="s">
        <v>3317</v>
      </c>
      <c r="D1266" s="131" t="s">
        <v>3456</v>
      </c>
      <c r="E1266" s="132">
        <v>64</v>
      </c>
      <c r="F1266" s="132">
        <v>0</v>
      </c>
      <c r="G1266" s="132">
        <f t="shared" si="368"/>
        <v>0</v>
      </c>
      <c r="H1266" s="132">
        <f t="shared" si="369"/>
        <v>0</v>
      </c>
      <c r="I1266" s="132">
        <f t="shared" si="370"/>
        <v>0</v>
      </c>
      <c r="J1266" s="132">
        <v>2E-05</v>
      </c>
      <c r="K1266" s="132">
        <f t="shared" si="371"/>
        <v>0.00128</v>
      </c>
      <c r="M1266" s="133" t="s">
        <v>1101</v>
      </c>
      <c r="N1266" s="132">
        <f t="shared" si="372"/>
        <v>0</v>
      </c>
      <c r="Y1266" s="132">
        <f t="shared" si="373"/>
        <v>0</v>
      </c>
      <c r="Z1266" s="132">
        <f t="shared" si="374"/>
        <v>0</v>
      </c>
      <c r="AA1266" s="132">
        <f t="shared" si="375"/>
        <v>0</v>
      </c>
      <c r="AC1266" s="125">
        <v>20</v>
      </c>
      <c r="AD1266" s="125">
        <f t="shared" si="366"/>
        <v>0</v>
      </c>
      <c r="AE1266" s="125">
        <f t="shared" si="367"/>
        <v>0</v>
      </c>
    </row>
    <row r="1267" spans="1:31" s="90" customFormat="1" ht="11.25">
      <c r="A1267" s="131" t="s">
        <v>987</v>
      </c>
      <c r="B1267" s="131" t="s">
        <v>2043</v>
      </c>
      <c r="C1267" s="131" t="s">
        <v>3318</v>
      </c>
      <c r="D1267" s="131" t="s">
        <v>3456</v>
      </c>
      <c r="E1267" s="132">
        <v>20</v>
      </c>
      <c r="F1267" s="132">
        <v>0</v>
      </c>
      <c r="G1267" s="132">
        <f t="shared" si="368"/>
        <v>0</v>
      </c>
      <c r="H1267" s="132">
        <f t="shared" si="369"/>
        <v>0</v>
      </c>
      <c r="I1267" s="132">
        <f t="shared" si="370"/>
        <v>0</v>
      </c>
      <c r="J1267" s="132">
        <v>8E-05</v>
      </c>
      <c r="K1267" s="132">
        <f t="shared" si="371"/>
        <v>0.0016</v>
      </c>
      <c r="M1267" s="133" t="s">
        <v>1101</v>
      </c>
      <c r="N1267" s="132">
        <f t="shared" si="372"/>
        <v>0</v>
      </c>
      <c r="Y1267" s="132">
        <f t="shared" si="373"/>
        <v>0</v>
      </c>
      <c r="Z1267" s="132">
        <f t="shared" si="374"/>
        <v>0</v>
      </c>
      <c r="AA1267" s="132">
        <f t="shared" si="375"/>
        <v>0</v>
      </c>
      <c r="AC1267" s="125">
        <v>20</v>
      </c>
      <c r="AD1267" s="125">
        <f t="shared" si="366"/>
        <v>0</v>
      </c>
      <c r="AE1267" s="125">
        <f t="shared" si="367"/>
        <v>0</v>
      </c>
    </row>
    <row r="1268" spans="1:31" s="90" customFormat="1" ht="11.25">
      <c r="A1268" s="131" t="s">
        <v>988</v>
      </c>
      <c r="B1268" s="131" t="s">
        <v>2044</v>
      </c>
      <c r="C1268" s="131" t="s">
        <v>3319</v>
      </c>
      <c r="D1268" s="131" t="s">
        <v>3456</v>
      </c>
      <c r="E1268" s="132">
        <v>70</v>
      </c>
      <c r="F1268" s="132">
        <v>0</v>
      </c>
      <c r="G1268" s="132">
        <f t="shared" si="368"/>
        <v>0</v>
      </c>
      <c r="H1268" s="132">
        <f t="shared" si="369"/>
        <v>0</v>
      </c>
      <c r="I1268" s="132">
        <f t="shared" si="370"/>
        <v>0</v>
      </c>
      <c r="J1268" s="132">
        <v>1E-05</v>
      </c>
      <c r="K1268" s="132">
        <f t="shared" si="371"/>
        <v>0.0007000000000000001</v>
      </c>
      <c r="M1268" s="133" t="s">
        <v>1101</v>
      </c>
      <c r="N1268" s="132">
        <f t="shared" si="372"/>
        <v>0</v>
      </c>
      <c r="Y1268" s="132">
        <f t="shared" si="373"/>
        <v>0</v>
      </c>
      <c r="Z1268" s="132">
        <f t="shared" si="374"/>
        <v>0</v>
      </c>
      <c r="AA1268" s="132">
        <f t="shared" si="375"/>
        <v>0</v>
      </c>
      <c r="AC1268" s="125">
        <v>20</v>
      </c>
      <c r="AD1268" s="125">
        <f t="shared" si="366"/>
        <v>0</v>
      </c>
      <c r="AE1268" s="125">
        <f t="shared" si="367"/>
        <v>0</v>
      </c>
    </row>
    <row r="1269" spans="1:31" s="90" customFormat="1" ht="11.25">
      <c r="A1269" s="131" t="s">
        <v>989</v>
      </c>
      <c r="B1269" s="131" t="s">
        <v>2045</v>
      </c>
      <c r="C1269" s="131" t="s">
        <v>3320</v>
      </c>
      <c r="D1269" s="131" t="s">
        <v>3456</v>
      </c>
      <c r="E1269" s="132">
        <v>56</v>
      </c>
      <c r="F1269" s="132">
        <v>0</v>
      </c>
      <c r="G1269" s="132">
        <f t="shared" si="368"/>
        <v>0</v>
      </c>
      <c r="H1269" s="132">
        <f t="shared" si="369"/>
        <v>0</v>
      </c>
      <c r="I1269" s="132">
        <f t="shared" si="370"/>
        <v>0</v>
      </c>
      <c r="J1269" s="132">
        <v>7E-05</v>
      </c>
      <c r="K1269" s="132">
        <f t="shared" si="371"/>
        <v>0.00392</v>
      </c>
      <c r="M1269" s="133" t="s">
        <v>1101</v>
      </c>
      <c r="N1269" s="132">
        <f t="shared" si="372"/>
        <v>0</v>
      </c>
      <c r="Y1269" s="132">
        <f t="shared" si="373"/>
        <v>0</v>
      </c>
      <c r="Z1269" s="132">
        <f t="shared" si="374"/>
        <v>0</v>
      </c>
      <c r="AA1269" s="132">
        <f t="shared" si="375"/>
        <v>0</v>
      </c>
      <c r="AC1269" s="125">
        <v>20</v>
      </c>
      <c r="AD1269" s="125">
        <f t="shared" si="366"/>
        <v>0</v>
      </c>
      <c r="AE1269" s="125">
        <f t="shared" si="367"/>
        <v>0</v>
      </c>
    </row>
    <row r="1270" spans="1:31" s="90" customFormat="1" ht="11.25">
      <c r="A1270" s="131" t="s">
        <v>990</v>
      </c>
      <c r="B1270" s="131" t="s">
        <v>2046</v>
      </c>
      <c r="C1270" s="131" t="s">
        <v>3321</v>
      </c>
      <c r="D1270" s="131" t="s">
        <v>3456</v>
      </c>
      <c r="E1270" s="132">
        <v>2</v>
      </c>
      <c r="F1270" s="132">
        <v>0</v>
      </c>
      <c r="G1270" s="132">
        <f t="shared" si="368"/>
        <v>0</v>
      </c>
      <c r="H1270" s="132">
        <f t="shared" si="369"/>
        <v>0</v>
      </c>
      <c r="I1270" s="132">
        <f t="shared" si="370"/>
        <v>0</v>
      </c>
      <c r="J1270" s="132">
        <v>0.073</v>
      </c>
      <c r="K1270" s="132">
        <f t="shared" si="371"/>
        <v>0.146</v>
      </c>
      <c r="M1270" s="133" t="s">
        <v>1101</v>
      </c>
      <c r="N1270" s="132">
        <f t="shared" si="372"/>
        <v>0</v>
      </c>
      <c r="Y1270" s="132">
        <f t="shared" si="373"/>
        <v>0</v>
      </c>
      <c r="Z1270" s="132">
        <f t="shared" si="374"/>
        <v>0</v>
      </c>
      <c r="AA1270" s="132">
        <f t="shared" si="375"/>
        <v>0</v>
      </c>
      <c r="AC1270" s="125">
        <v>20</v>
      </c>
      <c r="AD1270" s="125">
        <f t="shared" si="366"/>
        <v>0</v>
      </c>
      <c r="AE1270" s="125">
        <f t="shared" si="367"/>
        <v>0</v>
      </c>
    </row>
    <row r="1271" spans="1:31" s="90" customFormat="1" ht="11.25">
      <c r="A1271" s="131" t="s">
        <v>991</v>
      </c>
      <c r="B1271" s="131" t="s">
        <v>2046</v>
      </c>
      <c r="C1271" s="131" t="s">
        <v>3322</v>
      </c>
      <c r="D1271" s="131" t="s">
        <v>3456</v>
      </c>
      <c r="E1271" s="132">
        <v>2</v>
      </c>
      <c r="F1271" s="132">
        <v>0</v>
      </c>
      <c r="G1271" s="132">
        <f t="shared" si="368"/>
        <v>0</v>
      </c>
      <c r="H1271" s="132">
        <f t="shared" si="369"/>
        <v>0</v>
      </c>
      <c r="I1271" s="132">
        <f t="shared" si="370"/>
        <v>0</v>
      </c>
      <c r="J1271" s="132">
        <v>0.073</v>
      </c>
      <c r="K1271" s="132">
        <f t="shared" si="371"/>
        <v>0.146</v>
      </c>
      <c r="M1271" s="133" t="s">
        <v>1101</v>
      </c>
      <c r="N1271" s="132">
        <f t="shared" si="372"/>
        <v>0</v>
      </c>
      <c r="Y1271" s="132">
        <f t="shared" si="373"/>
        <v>0</v>
      </c>
      <c r="Z1271" s="132">
        <f t="shared" si="374"/>
        <v>0</v>
      </c>
      <c r="AA1271" s="132">
        <f t="shared" si="375"/>
        <v>0</v>
      </c>
      <c r="AC1271" s="125">
        <v>20</v>
      </c>
      <c r="AD1271" s="125">
        <f t="shared" si="366"/>
        <v>0</v>
      </c>
      <c r="AE1271" s="125">
        <f t="shared" si="367"/>
        <v>0</v>
      </c>
    </row>
    <row r="1272" spans="1:31" s="90" customFormat="1" ht="11.25">
      <c r="A1272" s="131" t="s">
        <v>992</v>
      </c>
      <c r="B1272" s="131" t="s">
        <v>2047</v>
      </c>
      <c r="C1272" s="131" t="s">
        <v>3323</v>
      </c>
      <c r="D1272" s="131" t="s">
        <v>3456</v>
      </c>
      <c r="E1272" s="132">
        <v>150</v>
      </c>
      <c r="F1272" s="132">
        <v>0</v>
      </c>
      <c r="G1272" s="132">
        <f t="shared" si="368"/>
        <v>0</v>
      </c>
      <c r="H1272" s="132">
        <f t="shared" si="369"/>
        <v>0</v>
      </c>
      <c r="I1272" s="132">
        <f t="shared" si="370"/>
        <v>0</v>
      </c>
      <c r="J1272" s="132">
        <v>3E-05</v>
      </c>
      <c r="K1272" s="132">
        <f t="shared" si="371"/>
        <v>0.0045000000000000005</v>
      </c>
      <c r="M1272" s="133" t="s">
        <v>1101</v>
      </c>
      <c r="N1272" s="132">
        <f t="shared" si="372"/>
        <v>0</v>
      </c>
      <c r="Y1272" s="132">
        <f t="shared" si="373"/>
        <v>0</v>
      </c>
      <c r="Z1272" s="132">
        <f t="shared" si="374"/>
        <v>0</v>
      </c>
      <c r="AA1272" s="132">
        <f t="shared" si="375"/>
        <v>0</v>
      </c>
      <c r="AC1272" s="125">
        <v>20</v>
      </c>
      <c r="AD1272" s="125">
        <f t="shared" si="366"/>
        <v>0</v>
      </c>
      <c r="AE1272" s="125">
        <f t="shared" si="367"/>
        <v>0</v>
      </c>
    </row>
    <row r="1273" spans="1:36" s="90" customFormat="1" ht="11.25">
      <c r="A1273" s="127"/>
      <c r="B1273" s="128" t="s">
        <v>2048</v>
      </c>
      <c r="C1273" s="129" t="s">
        <v>3324</v>
      </c>
      <c r="D1273" s="130"/>
      <c r="E1273" s="130"/>
      <c r="F1273" s="130"/>
      <c r="G1273" s="121">
        <f>SUM(G1274:G1372)</f>
        <v>0</v>
      </c>
      <c r="H1273" s="121">
        <f>SUM(H1274:H1372)</f>
        <v>0</v>
      </c>
      <c r="I1273" s="121">
        <f>G1273+H1273</f>
        <v>0</v>
      </c>
      <c r="J1273" s="114"/>
      <c r="K1273" s="121">
        <f>SUM(K1274:K1372)</f>
        <v>4.020840000000001</v>
      </c>
      <c r="O1273" s="121">
        <f>IF(P1273="PR",I1273,SUM(N1274:N1372))</f>
        <v>0</v>
      </c>
      <c r="P1273" s="114" t="s">
        <v>3491</v>
      </c>
      <c r="Q1273" s="121">
        <f>IF(P1273="HS",G1273,0)</f>
        <v>0</v>
      </c>
      <c r="R1273" s="121">
        <f>IF(P1273="HS",H1273-O1273,0)</f>
        <v>0</v>
      </c>
      <c r="S1273" s="121">
        <f>IF(P1273="PS",G1273,0)</f>
        <v>0</v>
      </c>
      <c r="T1273" s="121">
        <f>IF(P1273="PS",H1273-O1273,0)</f>
        <v>0</v>
      </c>
      <c r="U1273" s="121">
        <f>IF(P1273="MP",G1273,0)</f>
        <v>0</v>
      </c>
      <c r="V1273" s="121">
        <f>IF(P1273="MP",H1273-O1273,0)</f>
        <v>0</v>
      </c>
      <c r="W1273" s="121">
        <f>IF(P1273="OM",G1273,0)</f>
        <v>0</v>
      </c>
      <c r="X1273" s="114"/>
      <c r="AH1273" s="121">
        <f>SUM(Y1274:Y1372)</f>
        <v>0</v>
      </c>
      <c r="AI1273" s="121">
        <f>SUM(Z1274:Z1372)</f>
        <v>0</v>
      </c>
      <c r="AJ1273" s="121">
        <f>SUM(AA1274:AA1372)</f>
        <v>0</v>
      </c>
    </row>
    <row r="1274" spans="1:31" s="90" customFormat="1" ht="11.25">
      <c r="A1274" s="131" t="s">
        <v>993</v>
      </c>
      <c r="B1274" s="131" t="s">
        <v>2049</v>
      </c>
      <c r="C1274" s="131" t="s">
        <v>3325</v>
      </c>
      <c r="D1274" s="131" t="s">
        <v>3461</v>
      </c>
      <c r="E1274" s="132">
        <v>0.81</v>
      </c>
      <c r="F1274" s="132">
        <v>0</v>
      </c>
      <c r="G1274" s="132">
        <f>ROUND(E1274*AD1274,2)</f>
        <v>0</v>
      </c>
      <c r="H1274" s="132">
        <f>I1274-G1274</f>
        <v>0</v>
      </c>
      <c r="I1274" s="132">
        <f>ROUND(E1274*F1274,2)</f>
        <v>0</v>
      </c>
      <c r="J1274" s="132">
        <v>1</v>
      </c>
      <c r="K1274" s="132">
        <f>E1274*J1274</f>
        <v>0.81</v>
      </c>
      <c r="M1274" s="133" t="s">
        <v>1101</v>
      </c>
      <c r="N1274" s="132">
        <f>IF(M1274="5",H1274,0)</f>
        <v>0</v>
      </c>
      <c r="Y1274" s="132">
        <f>IF(AC1274=0,I1274,0)</f>
        <v>0</v>
      </c>
      <c r="Z1274" s="132">
        <f>IF(AC1274=14,I1274,0)</f>
        <v>0</v>
      </c>
      <c r="AA1274" s="132">
        <f>IF(AC1274=20,I1274,0)</f>
        <v>0</v>
      </c>
      <c r="AC1274" s="125">
        <v>20</v>
      </c>
      <c r="AD1274" s="125">
        <f>F1274*1</f>
        <v>0</v>
      </c>
      <c r="AE1274" s="125">
        <f>F1274*(1-1)</f>
        <v>0</v>
      </c>
    </row>
    <row r="1275" spans="1:31" s="90" customFormat="1" ht="11.25">
      <c r="A1275" s="122" t="s">
        <v>994</v>
      </c>
      <c r="B1275" s="122" t="s">
        <v>2050</v>
      </c>
      <c r="C1275" s="122" t="s">
        <v>3326</v>
      </c>
      <c r="D1275" s="122" t="s">
        <v>3457</v>
      </c>
      <c r="E1275" s="123">
        <v>1</v>
      </c>
      <c r="F1275" s="123">
        <v>0</v>
      </c>
      <c r="G1275" s="123">
        <f>ROUND(E1275*AD1275,2)</f>
        <v>0</v>
      </c>
      <c r="H1275" s="123">
        <f>I1275-G1275</f>
        <v>0</v>
      </c>
      <c r="I1275" s="123">
        <f>ROUND(E1275*F1275,2)</f>
        <v>0</v>
      </c>
      <c r="J1275" s="123">
        <v>0.3</v>
      </c>
      <c r="K1275" s="123">
        <f>E1275*J1275</f>
        <v>0.3</v>
      </c>
      <c r="M1275" s="124" t="s">
        <v>8</v>
      </c>
      <c r="N1275" s="123">
        <f>IF(M1275="5",H1275,0)</f>
        <v>0</v>
      </c>
      <c r="Y1275" s="123">
        <f>IF(AC1275=0,I1275,0)</f>
        <v>0</v>
      </c>
      <c r="Z1275" s="123">
        <f>IF(AC1275=14,I1275,0)</f>
        <v>0</v>
      </c>
      <c r="AA1275" s="123">
        <f>IF(AC1275=20,I1275,0)</f>
        <v>0</v>
      </c>
      <c r="AC1275" s="125">
        <v>20</v>
      </c>
      <c r="AD1275" s="125">
        <f>F1275*1</f>
        <v>0</v>
      </c>
      <c r="AE1275" s="125">
        <f>F1275*(1-1)</f>
        <v>0</v>
      </c>
    </row>
    <row r="1276" s="90" customFormat="1" ht="22.5">
      <c r="C1276" s="126" t="s">
        <v>3327</v>
      </c>
    </row>
    <row r="1277" spans="1:31" s="90" customFormat="1" ht="11.25">
      <c r="A1277" s="122" t="s">
        <v>995</v>
      </c>
      <c r="B1277" s="122" t="s">
        <v>2051</v>
      </c>
      <c r="C1277" s="122" t="s">
        <v>3328</v>
      </c>
      <c r="D1277" s="122" t="s">
        <v>3457</v>
      </c>
      <c r="E1277" s="123">
        <v>1</v>
      </c>
      <c r="F1277" s="123">
        <v>0</v>
      </c>
      <c r="G1277" s="123">
        <f>ROUND(E1277*AD1277,2)</f>
        <v>0</v>
      </c>
      <c r="H1277" s="123">
        <f>I1277-G1277</f>
        <v>0</v>
      </c>
      <c r="I1277" s="123">
        <f>ROUND(E1277*F1277,2)</f>
        <v>0</v>
      </c>
      <c r="J1277" s="123">
        <v>0.1</v>
      </c>
      <c r="K1277" s="123">
        <f>E1277*J1277</f>
        <v>0.1</v>
      </c>
      <c r="M1277" s="124" t="s">
        <v>8</v>
      </c>
      <c r="N1277" s="123">
        <f>IF(M1277="5",H1277,0)</f>
        <v>0</v>
      </c>
      <c r="Y1277" s="123">
        <f>IF(AC1277=0,I1277,0)</f>
        <v>0</v>
      </c>
      <c r="Z1277" s="123">
        <f>IF(AC1277=14,I1277,0)</f>
        <v>0</v>
      </c>
      <c r="AA1277" s="123">
        <f>IF(AC1277=20,I1277,0)</f>
        <v>0</v>
      </c>
      <c r="AC1277" s="125">
        <v>20</v>
      </c>
      <c r="AD1277" s="125">
        <f>F1277*0.8</f>
        <v>0</v>
      </c>
      <c r="AE1277" s="125">
        <f>F1277*(1-0.8)</f>
        <v>0</v>
      </c>
    </row>
    <row r="1278" s="90" customFormat="1" ht="11.25">
      <c r="C1278" s="126" t="s">
        <v>3329</v>
      </c>
    </row>
    <row r="1279" spans="1:31" s="90" customFormat="1" ht="11.25">
      <c r="A1279" s="122" t="s">
        <v>996</v>
      </c>
      <c r="B1279" s="122" t="s">
        <v>2052</v>
      </c>
      <c r="C1279" s="122" t="s">
        <v>3330</v>
      </c>
      <c r="D1279" s="122" t="s">
        <v>3457</v>
      </c>
      <c r="E1279" s="123">
        <v>28</v>
      </c>
      <c r="F1279" s="123">
        <v>0</v>
      </c>
      <c r="G1279" s="123">
        <f>ROUND(E1279*AD1279,2)</f>
        <v>0</v>
      </c>
      <c r="H1279" s="123">
        <f>I1279-G1279</f>
        <v>0</v>
      </c>
      <c r="I1279" s="123">
        <f>ROUND(E1279*F1279,2)</f>
        <v>0</v>
      </c>
      <c r="J1279" s="123">
        <v>0</v>
      </c>
      <c r="K1279" s="123">
        <f>E1279*J1279</f>
        <v>0</v>
      </c>
      <c r="M1279" s="124" t="s">
        <v>8</v>
      </c>
      <c r="N1279" s="123">
        <f>IF(M1279="5",H1279,0)</f>
        <v>0</v>
      </c>
      <c r="Y1279" s="123">
        <f>IF(AC1279=0,I1279,0)</f>
        <v>0</v>
      </c>
      <c r="Z1279" s="123">
        <f>IF(AC1279=14,I1279,0)</f>
        <v>0</v>
      </c>
      <c r="AA1279" s="123">
        <f>IF(AC1279=20,I1279,0)</f>
        <v>0</v>
      </c>
      <c r="AC1279" s="125">
        <v>20</v>
      </c>
      <c r="AD1279" s="125">
        <f>F1279*0</f>
        <v>0</v>
      </c>
      <c r="AE1279" s="125">
        <f>F1279*(1-0)</f>
        <v>0</v>
      </c>
    </row>
    <row r="1280" spans="1:31" s="90" customFormat="1" ht="11.25">
      <c r="A1280" s="122" t="s">
        <v>997</v>
      </c>
      <c r="B1280" s="122" t="s">
        <v>2053</v>
      </c>
      <c r="C1280" s="122" t="s">
        <v>3331</v>
      </c>
      <c r="D1280" s="122" t="s">
        <v>3457</v>
      </c>
      <c r="E1280" s="123">
        <v>1</v>
      </c>
      <c r="F1280" s="123">
        <v>0</v>
      </c>
      <c r="G1280" s="123">
        <f>ROUND(E1280*AD1280,2)</f>
        <v>0</v>
      </c>
      <c r="H1280" s="123">
        <f>I1280-G1280</f>
        <v>0</v>
      </c>
      <c r="I1280" s="123">
        <f>ROUND(E1280*F1280,2)</f>
        <v>0</v>
      </c>
      <c r="J1280" s="123">
        <v>0.025</v>
      </c>
      <c r="K1280" s="123">
        <f>E1280*J1280</f>
        <v>0.025</v>
      </c>
      <c r="M1280" s="124" t="s">
        <v>8</v>
      </c>
      <c r="N1280" s="123">
        <f>IF(M1280="5",H1280,0)</f>
        <v>0</v>
      </c>
      <c r="Y1280" s="123">
        <f>IF(AC1280=0,I1280,0)</f>
        <v>0</v>
      </c>
      <c r="Z1280" s="123">
        <f>IF(AC1280=14,I1280,0)</f>
        <v>0</v>
      </c>
      <c r="AA1280" s="123">
        <f>IF(AC1280=20,I1280,0)</f>
        <v>0</v>
      </c>
      <c r="AC1280" s="125">
        <v>20</v>
      </c>
      <c r="AD1280" s="125">
        <f>F1280*0</f>
        <v>0</v>
      </c>
      <c r="AE1280" s="125">
        <f>F1280*(1-0)</f>
        <v>0</v>
      </c>
    </row>
    <row r="1281" s="90" customFormat="1" ht="11.25">
      <c r="C1281" s="126" t="s">
        <v>3332</v>
      </c>
    </row>
    <row r="1282" spans="1:31" s="90" customFormat="1" ht="11.25">
      <c r="A1282" s="122" t="s">
        <v>998</v>
      </c>
      <c r="B1282" s="122" t="s">
        <v>2054</v>
      </c>
      <c r="C1282" s="122" t="s">
        <v>3331</v>
      </c>
      <c r="D1282" s="122" t="s">
        <v>3457</v>
      </c>
      <c r="E1282" s="123">
        <v>1</v>
      </c>
      <c r="F1282" s="123">
        <v>0</v>
      </c>
      <c r="G1282" s="123">
        <f>ROUND(E1282*AD1282,2)</f>
        <v>0</v>
      </c>
      <c r="H1282" s="123">
        <f>I1282-G1282</f>
        <v>0</v>
      </c>
      <c r="I1282" s="123">
        <f>ROUND(E1282*F1282,2)</f>
        <v>0</v>
      </c>
      <c r="J1282" s="123">
        <v>0.02</v>
      </c>
      <c r="K1282" s="123">
        <f>E1282*J1282</f>
        <v>0.02</v>
      </c>
      <c r="M1282" s="124" t="s">
        <v>8</v>
      </c>
      <c r="N1282" s="123">
        <f>IF(M1282="5",H1282,0)</f>
        <v>0</v>
      </c>
      <c r="Y1282" s="123">
        <f>IF(AC1282=0,I1282,0)</f>
        <v>0</v>
      </c>
      <c r="Z1282" s="123">
        <f>IF(AC1282=14,I1282,0)</f>
        <v>0</v>
      </c>
      <c r="AA1282" s="123">
        <f>IF(AC1282=20,I1282,0)</f>
        <v>0</v>
      </c>
      <c r="AC1282" s="125">
        <v>20</v>
      </c>
      <c r="AD1282" s="125">
        <f>F1282*0</f>
        <v>0</v>
      </c>
      <c r="AE1282" s="125">
        <f>F1282*(1-0)</f>
        <v>0</v>
      </c>
    </row>
    <row r="1283" s="90" customFormat="1" ht="11.25">
      <c r="C1283" s="126" t="s">
        <v>3333</v>
      </c>
    </row>
    <row r="1284" spans="1:31" s="90" customFormat="1" ht="11.25">
      <c r="A1284" s="122" t="s">
        <v>999</v>
      </c>
      <c r="B1284" s="122" t="s">
        <v>2055</v>
      </c>
      <c r="C1284" s="122" t="s">
        <v>3334</v>
      </c>
      <c r="D1284" s="122" t="s">
        <v>3457</v>
      </c>
      <c r="E1284" s="123">
        <v>5</v>
      </c>
      <c r="F1284" s="123">
        <v>0</v>
      </c>
      <c r="G1284" s="123">
        <f>ROUND(E1284*AD1284,2)</f>
        <v>0</v>
      </c>
      <c r="H1284" s="123">
        <f>I1284-G1284</f>
        <v>0</v>
      </c>
      <c r="I1284" s="123">
        <f>ROUND(E1284*F1284,2)</f>
        <v>0</v>
      </c>
      <c r="J1284" s="123">
        <v>0.1</v>
      </c>
      <c r="K1284" s="123">
        <f>E1284*J1284</f>
        <v>0.5</v>
      </c>
      <c r="M1284" s="124" t="s">
        <v>8</v>
      </c>
      <c r="N1284" s="123">
        <f>IF(M1284="5",H1284,0)</f>
        <v>0</v>
      </c>
      <c r="Y1284" s="123">
        <f>IF(AC1284=0,I1284,0)</f>
        <v>0</v>
      </c>
      <c r="Z1284" s="123">
        <f>IF(AC1284=14,I1284,0)</f>
        <v>0</v>
      </c>
      <c r="AA1284" s="123">
        <f>IF(AC1284=20,I1284,0)</f>
        <v>0</v>
      </c>
      <c r="AC1284" s="125">
        <v>20</v>
      </c>
      <c r="AD1284" s="125">
        <f>F1284*0</f>
        <v>0</v>
      </c>
      <c r="AE1284" s="125">
        <f>F1284*(1-0)</f>
        <v>0</v>
      </c>
    </row>
    <row r="1285" s="90" customFormat="1" ht="22.5">
      <c r="C1285" s="126" t="s">
        <v>3335</v>
      </c>
    </row>
    <row r="1286" spans="1:31" s="90" customFormat="1" ht="11.25">
      <c r="A1286" s="122" t="s">
        <v>1000</v>
      </c>
      <c r="B1286" s="122" t="s">
        <v>2056</v>
      </c>
      <c r="C1286" s="122" t="s">
        <v>3336</v>
      </c>
      <c r="D1286" s="122" t="s">
        <v>3457</v>
      </c>
      <c r="E1286" s="123">
        <v>3</v>
      </c>
      <c r="F1286" s="123">
        <v>0</v>
      </c>
      <c r="G1286" s="123">
        <f>ROUND(E1286*AD1286,2)</f>
        <v>0</v>
      </c>
      <c r="H1286" s="123">
        <f>I1286-G1286</f>
        <v>0</v>
      </c>
      <c r="I1286" s="123">
        <f>ROUND(E1286*F1286,2)</f>
        <v>0</v>
      </c>
      <c r="J1286" s="123">
        <v>0.1</v>
      </c>
      <c r="K1286" s="123">
        <f>E1286*J1286</f>
        <v>0.30000000000000004</v>
      </c>
      <c r="M1286" s="124" t="s">
        <v>8</v>
      </c>
      <c r="N1286" s="123">
        <f>IF(M1286="5",H1286,0)</f>
        <v>0</v>
      </c>
      <c r="Y1286" s="123">
        <f>IF(AC1286=0,I1286,0)</f>
        <v>0</v>
      </c>
      <c r="Z1286" s="123">
        <f>IF(AC1286=14,I1286,0)</f>
        <v>0</v>
      </c>
      <c r="AA1286" s="123">
        <f>IF(AC1286=20,I1286,0)</f>
        <v>0</v>
      </c>
      <c r="AC1286" s="125">
        <v>20</v>
      </c>
      <c r="AD1286" s="125">
        <f>F1286*0</f>
        <v>0</v>
      </c>
      <c r="AE1286" s="125">
        <f>F1286*(1-0)</f>
        <v>0</v>
      </c>
    </row>
    <row r="1287" s="90" customFormat="1" ht="33.75">
      <c r="C1287" s="126" t="s">
        <v>3337</v>
      </c>
    </row>
    <row r="1288" spans="1:31" s="90" customFormat="1" ht="11.25">
      <c r="A1288" s="122" t="s">
        <v>1001</v>
      </c>
      <c r="B1288" s="122" t="s">
        <v>2057</v>
      </c>
      <c r="C1288" s="122" t="s">
        <v>3338</v>
      </c>
      <c r="D1288" s="122" t="s">
        <v>3457</v>
      </c>
      <c r="E1288" s="123">
        <v>2</v>
      </c>
      <c r="F1288" s="123">
        <v>0</v>
      </c>
      <c r="G1288" s="123">
        <f>ROUND(E1288*AD1288,2)</f>
        <v>0</v>
      </c>
      <c r="H1288" s="123">
        <f>I1288-G1288</f>
        <v>0</v>
      </c>
      <c r="I1288" s="123">
        <f>ROUND(E1288*F1288,2)</f>
        <v>0</v>
      </c>
      <c r="J1288" s="123">
        <v>0</v>
      </c>
      <c r="K1288" s="123">
        <f>E1288*J1288</f>
        <v>0</v>
      </c>
      <c r="M1288" s="124" t="s">
        <v>8</v>
      </c>
      <c r="N1288" s="123">
        <f>IF(M1288="5",H1288,0)</f>
        <v>0</v>
      </c>
      <c r="Y1288" s="123">
        <f>IF(AC1288=0,I1288,0)</f>
        <v>0</v>
      </c>
      <c r="Z1288" s="123">
        <f>IF(AC1288=14,I1288,0)</f>
        <v>0</v>
      </c>
      <c r="AA1288" s="123">
        <f>IF(AC1288=20,I1288,0)</f>
        <v>0</v>
      </c>
      <c r="AC1288" s="125">
        <v>20</v>
      </c>
      <c r="AD1288" s="125">
        <f>F1288*0</f>
        <v>0</v>
      </c>
      <c r="AE1288" s="125">
        <f>F1288*(1-0)</f>
        <v>0</v>
      </c>
    </row>
    <row r="1289" s="90" customFormat="1" ht="11.25">
      <c r="C1289" s="126" t="s">
        <v>3339</v>
      </c>
    </row>
    <row r="1290" spans="1:31" s="90" customFormat="1" ht="11.25">
      <c r="A1290" s="122" t="s">
        <v>1002</v>
      </c>
      <c r="B1290" s="122" t="s">
        <v>2058</v>
      </c>
      <c r="C1290" s="122" t="s">
        <v>3340</v>
      </c>
      <c r="D1290" s="122" t="s">
        <v>3457</v>
      </c>
      <c r="E1290" s="123">
        <v>1</v>
      </c>
      <c r="F1290" s="123">
        <v>0</v>
      </c>
      <c r="G1290" s="123">
        <f>ROUND(E1290*AD1290,2)</f>
        <v>0</v>
      </c>
      <c r="H1290" s="123">
        <f>I1290-G1290</f>
        <v>0</v>
      </c>
      <c r="I1290" s="123">
        <f>ROUND(E1290*F1290,2)</f>
        <v>0</v>
      </c>
      <c r="J1290" s="123">
        <v>0</v>
      </c>
      <c r="K1290" s="123">
        <f>E1290*J1290</f>
        <v>0</v>
      </c>
      <c r="M1290" s="124" t="s">
        <v>8</v>
      </c>
      <c r="N1290" s="123">
        <f>IF(M1290="5",H1290,0)</f>
        <v>0</v>
      </c>
      <c r="Y1290" s="123">
        <f>IF(AC1290=0,I1290,0)</f>
        <v>0</v>
      </c>
      <c r="Z1290" s="123">
        <f>IF(AC1290=14,I1290,0)</f>
        <v>0</v>
      </c>
      <c r="AA1290" s="123">
        <f>IF(AC1290=20,I1290,0)</f>
        <v>0</v>
      </c>
      <c r="AC1290" s="125">
        <v>20</v>
      </c>
      <c r="AD1290" s="125">
        <f>F1290*0</f>
        <v>0</v>
      </c>
      <c r="AE1290" s="125">
        <f>F1290*(1-0)</f>
        <v>0</v>
      </c>
    </row>
    <row r="1291" s="90" customFormat="1" ht="11.25">
      <c r="C1291" s="126" t="s">
        <v>3341</v>
      </c>
    </row>
    <row r="1292" spans="1:31" s="90" customFormat="1" ht="11.25">
      <c r="A1292" s="122" t="s">
        <v>1003</v>
      </c>
      <c r="B1292" s="122" t="s">
        <v>2059</v>
      </c>
      <c r="C1292" s="122" t="s">
        <v>3342</v>
      </c>
      <c r="D1292" s="122" t="s">
        <v>3457</v>
      </c>
      <c r="E1292" s="123">
        <v>1</v>
      </c>
      <c r="F1292" s="123">
        <v>0</v>
      </c>
      <c r="G1292" s="123">
        <f>ROUND(E1292*AD1292,2)</f>
        <v>0</v>
      </c>
      <c r="H1292" s="123">
        <f>I1292-G1292</f>
        <v>0</v>
      </c>
      <c r="I1292" s="123">
        <f>ROUND(E1292*F1292,2)</f>
        <v>0</v>
      </c>
      <c r="J1292" s="123">
        <v>0</v>
      </c>
      <c r="K1292" s="123">
        <f>E1292*J1292</f>
        <v>0</v>
      </c>
      <c r="M1292" s="124" t="s">
        <v>8</v>
      </c>
      <c r="N1292" s="123">
        <f>IF(M1292="5",H1292,0)</f>
        <v>0</v>
      </c>
      <c r="Y1292" s="123">
        <f>IF(AC1292=0,I1292,0)</f>
        <v>0</v>
      </c>
      <c r="Z1292" s="123">
        <f>IF(AC1292=14,I1292,0)</f>
        <v>0</v>
      </c>
      <c r="AA1292" s="123">
        <f>IF(AC1292=20,I1292,0)</f>
        <v>0</v>
      </c>
      <c r="AC1292" s="125">
        <v>20</v>
      </c>
      <c r="AD1292" s="125">
        <f>F1292*0</f>
        <v>0</v>
      </c>
      <c r="AE1292" s="125">
        <f>F1292*(1-0)</f>
        <v>0</v>
      </c>
    </row>
    <row r="1293" s="90" customFormat="1" ht="11.25">
      <c r="C1293" s="126" t="s">
        <v>3343</v>
      </c>
    </row>
    <row r="1294" spans="1:31" s="90" customFormat="1" ht="11.25">
      <c r="A1294" s="122" t="s">
        <v>1004</v>
      </c>
      <c r="B1294" s="122" t="s">
        <v>2060</v>
      </c>
      <c r="C1294" s="122" t="s">
        <v>3344</v>
      </c>
      <c r="D1294" s="122" t="s">
        <v>3457</v>
      </c>
      <c r="E1294" s="123">
        <v>1</v>
      </c>
      <c r="F1294" s="123">
        <v>0</v>
      </c>
      <c r="G1294" s="123">
        <f>ROUND(E1294*AD1294,2)</f>
        <v>0</v>
      </c>
      <c r="H1294" s="123">
        <f>I1294-G1294</f>
        <v>0</v>
      </c>
      <c r="I1294" s="123">
        <f>ROUND(E1294*F1294,2)</f>
        <v>0</v>
      </c>
      <c r="J1294" s="123">
        <v>0</v>
      </c>
      <c r="K1294" s="123">
        <f>E1294*J1294</f>
        <v>0</v>
      </c>
      <c r="M1294" s="124" t="s">
        <v>8</v>
      </c>
      <c r="N1294" s="123">
        <f>IF(M1294="5",H1294,0)</f>
        <v>0</v>
      </c>
      <c r="Y1294" s="123">
        <f>IF(AC1294=0,I1294,0)</f>
        <v>0</v>
      </c>
      <c r="Z1294" s="123">
        <f>IF(AC1294=14,I1294,0)</f>
        <v>0</v>
      </c>
      <c r="AA1294" s="123">
        <f>IF(AC1294=20,I1294,0)</f>
        <v>0</v>
      </c>
      <c r="AC1294" s="125">
        <v>20</v>
      </c>
      <c r="AD1294" s="125">
        <f>F1294*0</f>
        <v>0</v>
      </c>
      <c r="AE1294" s="125">
        <f>F1294*(1-0)</f>
        <v>0</v>
      </c>
    </row>
    <row r="1295" s="90" customFormat="1" ht="11.25">
      <c r="C1295" s="126" t="s">
        <v>3345</v>
      </c>
    </row>
    <row r="1296" spans="1:31" s="90" customFormat="1" ht="11.25">
      <c r="A1296" s="122" t="s">
        <v>1005</v>
      </c>
      <c r="B1296" s="122" t="s">
        <v>2061</v>
      </c>
      <c r="C1296" s="122" t="s">
        <v>3346</v>
      </c>
      <c r="D1296" s="122" t="s">
        <v>3457</v>
      </c>
      <c r="E1296" s="123">
        <v>1</v>
      </c>
      <c r="F1296" s="123">
        <v>0</v>
      </c>
      <c r="G1296" s="123">
        <f>ROUND(E1296*AD1296,2)</f>
        <v>0</v>
      </c>
      <c r="H1296" s="123">
        <f>I1296-G1296</f>
        <v>0</v>
      </c>
      <c r="I1296" s="123">
        <f>ROUND(E1296*F1296,2)</f>
        <v>0</v>
      </c>
      <c r="J1296" s="123">
        <v>0</v>
      </c>
      <c r="K1296" s="123">
        <f>E1296*J1296</f>
        <v>0</v>
      </c>
      <c r="M1296" s="124" t="s">
        <v>8</v>
      </c>
      <c r="N1296" s="123">
        <f>IF(M1296="5",H1296,0)</f>
        <v>0</v>
      </c>
      <c r="Y1296" s="123">
        <f>IF(AC1296=0,I1296,0)</f>
        <v>0</v>
      </c>
      <c r="Z1296" s="123">
        <f>IF(AC1296=14,I1296,0)</f>
        <v>0</v>
      </c>
      <c r="AA1296" s="123">
        <f>IF(AC1296=20,I1296,0)</f>
        <v>0</v>
      </c>
      <c r="AC1296" s="125">
        <v>20</v>
      </c>
      <c r="AD1296" s="125">
        <f>F1296*0</f>
        <v>0</v>
      </c>
      <c r="AE1296" s="125">
        <f>F1296*(1-0)</f>
        <v>0</v>
      </c>
    </row>
    <row r="1297" s="90" customFormat="1" ht="11.25">
      <c r="C1297" s="126" t="s">
        <v>3347</v>
      </c>
    </row>
    <row r="1298" spans="1:31" s="90" customFormat="1" ht="11.25">
      <c r="A1298" s="122" t="s">
        <v>1006</v>
      </c>
      <c r="B1298" s="122" t="s">
        <v>2062</v>
      </c>
      <c r="C1298" s="122" t="s">
        <v>3348</v>
      </c>
      <c r="D1298" s="122" t="s">
        <v>3457</v>
      </c>
      <c r="E1298" s="123">
        <v>4</v>
      </c>
      <c r="F1298" s="123">
        <v>0</v>
      </c>
      <c r="G1298" s="123">
        <f>ROUND(E1298*AD1298,2)</f>
        <v>0</v>
      </c>
      <c r="H1298" s="123">
        <f>I1298-G1298</f>
        <v>0</v>
      </c>
      <c r="I1298" s="123">
        <f>ROUND(E1298*F1298,2)</f>
        <v>0</v>
      </c>
      <c r="J1298" s="123">
        <v>0</v>
      </c>
      <c r="K1298" s="123">
        <f>E1298*J1298</f>
        <v>0</v>
      </c>
      <c r="M1298" s="124" t="s">
        <v>8</v>
      </c>
      <c r="N1298" s="123">
        <f>IF(M1298="5",H1298,0)</f>
        <v>0</v>
      </c>
      <c r="Y1298" s="123">
        <f>IF(AC1298=0,I1298,0)</f>
        <v>0</v>
      </c>
      <c r="Z1298" s="123">
        <f>IF(AC1298=14,I1298,0)</f>
        <v>0</v>
      </c>
      <c r="AA1298" s="123">
        <f>IF(AC1298=20,I1298,0)</f>
        <v>0</v>
      </c>
      <c r="AC1298" s="125">
        <v>20</v>
      </c>
      <c r="AD1298" s="125">
        <f>F1298*0</f>
        <v>0</v>
      </c>
      <c r="AE1298" s="125">
        <f>F1298*(1-0)</f>
        <v>0</v>
      </c>
    </row>
    <row r="1299" s="90" customFormat="1" ht="11.25">
      <c r="C1299" s="126" t="s">
        <v>3349</v>
      </c>
    </row>
    <row r="1300" spans="1:31" s="90" customFormat="1" ht="11.25">
      <c r="A1300" s="122" t="s">
        <v>1007</v>
      </c>
      <c r="B1300" s="122" t="s">
        <v>2063</v>
      </c>
      <c r="C1300" s="122" t="s">
        <v>3350</v>
      </c>
      <c r="D1300" s="122" t="s">
        <v>3455</v>
      </c>
      <c r="E1300" s="123">
        <v>12</v>
      </c>
      <c r="F1300" s="123">
        <v>0</v>
      </c>
      <c r="G1300" s="123">
        <f>ROUND(E1300*AD1300,2)</f>
        <v>0</v>
      </c>
      <c r="H1300" s="123">
        <f>I1300-G1300</f>
        <v>0</v>
      </c>
      <c r="I1300" s="123">
        <f>ROUND(E1300*F1300,2)</f>
        <v>0</v>
      </c>
      <c r="J1300" s="123">
        <v>0.005</v>
      </c>
      <c r="K1300" s="123">
        <f>E1300*J1300</f>
        <v>0.06</v>
      </c>
      <c r="M1300" s="124" t="s">
        <v>8</v>
      </c>
      <c r="N1300" s="123">
        <f>IF(M1300="5",H1300,0)</f>
        <v>0</v>
      </c>
      <c r="Y1300" s="123">
        <f>IF(AC1300=0,I1300,0)</f>
        <v>0</v>
      </c>
      <c r="Z1300" s="123">
        <f>IF(AC1300=14,I1300,0)</f>
        <v>0</v>
      </c>
      <c r="AA1300" s="123">
        <f>IF(AC1300=20,I1300,0)</f>
        <v>0</v>
      </c>
      <c r="AC1300" s="125">
        <v>20</v>
      </c>
      <c r="AD1300" s="125">
        <f>F1300*0.7</f>
        <v>0</v>
      </c>
      <c r="AE1300" s="125">
        <f>F1300*(1-0.7)</f>
        <v>0</v>
      </c>
    </row>
    <row r="1301" spans="1:31" s="90" customFormat="1" ht="11.25">
      <c r="A1301" s="122" t="s">
        <v>1008</v>
      </c>
      <c r="B1301" s="122" t="s">
        <v>2064</v>
      </c>
      <c r="C1301" s="122" t="s">
        <v>3351</v>
      </c>
      <c r="D1301" s="122" t="s">
        <v>3457</v>
      </c>
      <c r="E1301" s="123">
        <v>2</v>
      </c>
      <c r="F1301" s="123">
        <v>0</v>
      </c>
      <c r="G1301" s="123">
        <f>ROUND(E1301*AD1301,2)</f>
        <v>0</v>
      </c>
      <c r="H1301" s="123">
        <f>I1301-G1301</f>
        <v>0</v>
      </c>
      <c r="I1301" s="123">
        <f>ROUND(E1301*F1301,2)</f>
        <v>0</v>
      </c>
      <c r="J1301" s="123">
        <v>0.008</v>
      </c>
      <c r="K1301" s="123">
        <f>E1301*J1301</f>
        <v>0.016</v>
      </c>
      <c r="M1301" s="124" t="s">
        <v>8</v>
      </c>
      <c r="N1301" s="123">
        <f>IF(M1301="5",H1301,0)</f>
        <v>0</v>
      </c>
      <c r="Y1301" s="123">
        <f>IF(AC1301=0,I1301,0)</f>
        <v>0</v>
      </c>
      <c r="Z1301" s="123">
        <f>IF(AC1301=14,I1301,0)</f>
        <v>0</v>
      </c>
      <c r="AA1301" s="123">
        <f>IF(AC1301=20,I1301,0)</f>
        <v>0</v>
      </c>
      <c r="AC1301" s="125">
        <v>20</v>
      </c>
      <c r="AD1301" s="125">
        <f>F1301*0</f>
        <v>0</v>
      </c>
      <c r="AE1301" s="125">
        <f>F1301*(1-0)</f>
        <v>0</v>
      </c>
    </row>
    <row r="1302" s="90" customFormat="1" ht="11.25">
      <c r="C1302" s="126" t="s">
        <v>3352</v>
      </c>
    </row>
    <row r="1303" spans="1:31" s="90" customFormat="1" ht="11.25">
      <c r="A1303" s="122" t="s">
        <v>1009</v>
      </c>
      <c r="B1303" s="122" t="s">
        <v>2065</v>
      </c>
      <c r="C1303" s="122" t="s">
        <v>3353</v>
      </c>
      <c r="D1303" s="122" t="s">
        <v>3456</v>
      </c>
      <c r="E1303" s="123">
        <v>1</v>
      </c>
      <c r="F1303" s="123">
        <v>0</v>
      </c>
      <c r="G1303" s="123">
        <f aca="true" t="shared" si="376" ref="G1303:G1334">ROUND(E1303*AD1303,2)</f>
        <v>0</v>
      </c>
      <c r="H1303" s="123">
        <f aca="true" t="shared" si="377" ref="H1303:H1334">I1303-G1303</f>
        <v>0</v>
      </c>
      <c r="I1303" s="123">
        <f aca="true" t="shared" si="378" ref="I1303:I1334">ROUND(E1303*F1303,2)</f>
        <v>0</v>
      </c>
      <c r="J1303" s="123">
        <v>0</v>
      </c>
      <c r="K1303" s="123">
        <f aca="true" t="shared" si="379" ref="K1303:K1334">E1303*J1303</f>
        <v>0</v>
      </c>
      <c r="M1303" s="124" t="s">
        <v>8</v>
      </c>
      <c r="N1303" s="123">
        <f aca="true" t="shared" si="380" ref="N1303:N1334">IF(M1303="5",H1303,0)</f>
        <v>0</v>
      </c>
      <c r="Y1303" s="123">
        <f aca="true" t="shared" si="381" ref="Y1303:Y1334">IF(AC1303=0,I1303,0)</f>
        <v>0</v>
      </c>
      <c r="Z1303" s="123">
        <f aca="true" t="shared" si="382" ref="Z1303:Z1334">IF(AC1303=14,I1303,0)</f>
        <v>0</v>
      </c>
      <c r="AA1303" s="123">
        <f aca="true" t="shared" si="383" ref="AA1303:AA1334">IF(AC1303=20,I1303,0)</f>
        <v>0</v>
      </c>
      <c r="AC1303" s="125">
        <v>20</v>
      </c>
      <c r="AD1303" s="125">
        <f aca="true" t="shared" si="384" ref="AD1303:AD1334">F1303*0</f>
        <v>0</v>
      </c>
      <c r="AE1303" s="125">
        <f aca="true" t="shared" si="385" ref="AE1303:AE1334">F1303*(1-0)</f>
        <v>0</v>
      </c>
    </row>
    <row r="1304" spans="1:31" s="90" customFormat="1" ht="11.25">
      <c r="A1304" s="122" t="s">
        <v>1010</v>
      </c>
      <c r="B1304" s="122" t="s">
        <v>2066</v>
      </c>
      <c r="C1304" s="122" t="s">
        <v>3354</v>
      </c>
      <c r="D1304" s="122" t="s">
        <v>3456</v>
      </c>
      <c r="E1304" s="123">
        <v>1</v>
      </c>
      <c r="F1304" s="123">
        <v>0</v>
      </c>
      <c r="G1304" s="123">
        <f t="shared" si="376"/>
        <v>0</v>
      </c>
      <c r="H1304" s="123">
        <f t="shared" si="377"/>
        <v>0</v>
      </c>
      <c r="I1304" s="123">
        <f t="shared" si="378"/>
        <v>0</v>
      </c>
      <c r="J1304" s="123">
        <v>0</v>
      </c>
      <c r="K1304" s="123">
        <f t="shared" si="379"/>
        <v>0</v>
      </c>
      <c r="M1304" s="124" t="s">
        <v>8</v>
      </c>
      <c r="N1304" s="123">
        <f t="shared" si="380"/>
        <v>0</v>
      </c>
      <c r="Y1304" s="123">
        <f t="shared" si="381"/>
        <v>0</v>
      </c>
      <c r="Z1304" s="123">
        <f t="shared" si="382"/>
        <v>0</v>
      </c>
      <c r="AA1304" s="123">
        <f t="shared" si="383"/>
        <v>0</v>
      </c>
      <c r="AC1304" s="125">
        <v>20</v>
      </c>
      <c r="AD1304" s="125">
        <f t="shared" si="384"/>
        <v>0</v>
      </c>
      <c r="AE1304" s="125">
        <f t="shared" si="385"/>
        <v>0</v>
      </c>
    </row>
    <row r="1305" spans="1:31" s="90" customFormat="1" ht="11.25">
      <c r="A1305" s="122" t="s">
        <v>1011</v>
      </c>
      <c r="B1305" s="122" t="s">
        <v>2067</v>
      </c>
      <c r="C1305" s="122" t="s">
        <v>3355</v>
      </c>
      <c r="D1305" s="122" t="s">
        <v>3456</v>
      </c>
      <c r="E1305" s="123">
        <v>1</v>
      </c>
      <c r="F1305" s="123">
        <v>0</v>
      </c>
      <c r="G1305" s="123">
        <f t="shared" si="376"/>
        <v>0</v>
      </c>
      <c r="H1305" s="123">
        <f t="shared" si="377"/>
        <v>0</v>
      </c>
      <c r="I1305" s="123">
        <f t="shared" si="378"/>
        <v>0</v>
      </c>
      <c r="J1305" s="123">
        <v>0</v>
      </c>
      <c r="K1305" s="123">
        <f t="shared" si="379"/>
        <v>0</v>
      </c>
      <c r="M1305" s="124" t="s">
        <v>8</v>
      </c>
      <c r="N1305" s="123">
        <f t="shared" si="380"/>
        <v>0</v>
      </c>
      <c r="Y1305" s="123">
        <f t="shared" si="381"/>
        <v>0</v>
      </c>
      <c r="Z1305" s="123">
        <f t="shared" si="382"/>
        <v>0</v>
      </c>
      <c r="AA1305" s="123">
        <f t="shared" si="383"/>
        <v>0</v>
      </c>
      <c r="AC1305" s="125">
        <v>20</v>
      </c>
      <c r="AD1305" s="125">
        <f t="shared" si="384"/>
        <v>0</v>
      </c>
      <c r="AE1305" s="125">
        <f t="shared" si="385"/>
        <v>0</v>
      </c>
    </row>
    <row r="1306" spans="1:31" s="90" customFormat="1" ht="11.25">
      <c r="A1306" s="122" t="s">
        <v>1012</v>
      </c>
      <c r="B1306" s="122" t="s">
        <v>2068</v>
      </c>
      <c r="C1306" s="122" t="s">
        <v>3356</v>
      </c>
      <c r="D1306" s="122" t="s">
        <v>3456</v>
      </c>
      <c r="E1306" s="123">
        <v>3</v>
      </c>
      <c r="F1306" s="123">
        <v>0</v>
      </c>
      <c r="G1306" s="123">
        <f t="shared" si="376"/>
        <v>0</v>
      </c>
      <c r="H1306" s="123">
        <f t="shared" si="377"/>
        <v>0</v>
      </c>
      <c r="I1306" s="123">
        <f t="shared" si="378"/>
        <v>0</v>
      </c>
      <c r="J1306" s="123">
        <v>0</v>
      </c>
      <c r="K1306" s="123">
        <f t="shared" si="379"/>
        <v>0</v>
      </c>
      <c r="M1306" s="124" t="s">
        <v>8</v>
      </c>
      <c r="N1306" s="123">
        <f t="shared" si="380"/>
        <v>0</v>
      </c>
      <c r="Y1306" s="123">
        <f t="shared" si="381"/>
        <v>0</v>
      </c>
      <c r="Z1306" s="123">
        <f t="shared" si="382"/>
        <v>0</v>
      </c>
      <c r="AA1306" s="123">
        <f t="shared" si="383"/>
        <v>0</v>
      </c>
      <c r="AC1306" s="125">
        <v>20</v>
      </c>
      <c r="AD1306" s="125">
        <f t="shared" si="384"/>
        <v>0</v>
      </c>
      <c r="AE1306" s="125">
        <f t="shared" si="385"/>
        <v>0</v>
      </c>
    </row>
    <row r="1307" spans="1:31" s="90" customFormat="1" ht="11.25">
      <c r="A1307" s="122" t="s">
        <v>1013</v>
      </c>
      <c r="B1307" s="122" t="s">
        <v>2069</v>
      </c>
      <c r="C1307" s="122" t="s">
        <v>3357</v>
      </c>
      <c r="D1307" s="122" t="s">
        <v>3456</v>
      </c>
      <c r="E1307" s="123">
        <v>2</v>
      </c>
      <c r="F1307" s="123">
        <v>0</v>
      </c>
      <c r="G1307" s="123">
        <f t="shared" si="376"/>
        <v>0</v>
      </c>
      <c r="H1307" s="123">
        <f t="shared" si="377"/>
        <v>0</v>
      </c>
      <c r="I1307" s="123">
        <f t="shared" si="378"/>
        <v>0</v>
      </c>
      <c r="J1307" s="123">
        <v>0</v>
      </c>
      <c r="K1307" s="123">
        <f t="shared" si="379"/>
        <v>0</v>
      </c>
      <c r="M1307" s="124" t="s">
        <v>8</v>
      </c>
      <c r="N1307" s="123">
        <f t="shared" si="380"/>
        <v>0</v>
      </c>
      <c r="Y1307" s="123">
        <f t="shared" si="381"/>
        <v>0</v>
      </c>
      <c r="Z1307" s="123">
        <f t="shared" si="382"/>
        <v>0</v>
      </c>
      <c r="AA1307" s="123">
        <f t="shared" si="383"/>
        <v>0</v>
      </c>
      <c r="AC1307" s="125">
        <v>20</v>
      </c>
      <c r="AD1307" s="125">
        <f t="shared" si="384"/>
        <v>0</v>
      </c>
      <c r="AE1307" s="125">
        <f t="shared" si="385"/>
        <v>0</v>
      </c>
    </row>
    <row r="1308" spans="1:31" s="90" customFormat="1" ht="11.25">
      <c r="A1308" s="122" t="s">
        <v>1014</v>
      </c>
      <c r="B1308" s="122" t="s">
        <v>2070</v>
      </c>
      <c r="C1308" s="122" t="s">
        <v>3358</v>
      </c>
      <c r="D1308" s="122" t="s">
        <v>3456</v>
      </c>
      <c r="E1308" s="123">
        <v>1</v>
      </c>
      <c r="F1308" s="123">
        <v>0</v>
      </c>
      <c r="G1308" s="123">
        <f t="shared" si="376"/>
        <v>0</v>
      </c>
      <c r="H1308" s="123">
        <f t="shared" si="377"/>
        <v>0</v>
      </c>
      <c r="I1308" s="123">
        <f t="shared" si="378"/>
        <v>0</v>
      </c>
      <c r="J1308" s="123">
        <v>0</v>
      </c>
      <c r="K1308" s="123">
        <f t="shared" si="379"/>
        <v>0</v>
      </c>
      <c r="M1308" s="124" t="s">
        <v>8</v>
      </c>
      <c r="N1308" s="123">
        <f t="shared" si="380"/>
        <v>0</v>
      </c>
      <c r="Y1308" s="123">
        <f t="shared" si="381"/>
        <v>0</v>
      </c>
      <c r="Z1308" s="123">
        <f t="shared" si="382"/>
        <v>0</v>
      </c>
      <c r="AA1308" s="123">
        <f t="shared" si="383"/>
        <v>0</v>
      </c>
      <c r="AC1308" s="125">
        <v>20</v>
      </c>
      <c r="AD1308" s="125">
        <f t="shared" si="384"/>
        <v>0</v>
      </c>
      <c r="AE1308" s="125">
        <f t="shared" si="385"/>
        <v>0</v>
      </c>
    </row>
    <row r="1309" spans="1:31" s="90" customFormat="1" ht="11.25">
      <c r="A1309" s="122" t="s">
        <v>1015</v>
      </c>
      <c r="B1309" s="122" t="s">
        <v>2071</v>
      </c>
      <c r="C1309" s="122" t="s">
        <v>3359</v>
      </c>
      <c r="D1309" s="122" t="s">
        <v>3456</v>
      </c>
      <c r="E1309" s="123">
        <v>1</v>
      </c>
      <c r="F1309" s="123">
        <v>0</v>
      </c>
      <c r="G1309" s="123">
        <f t="shared" si="376"/>
        <v>0</v>
      </c>
      <c r="H1309" s="123">
        <f t="shared" si="377"/>
        <v>0</v>
      </c>
      <c r="I1309" s="123">
        <f t="shared" si="378"/>
        <v>0</v>
      </c>
      <c r="J1309" s="123">
        <v>0</v>
      </c>
      <c r="K1309" s="123">
        <f t="shared" si="379"/>
        <v>0</v>
      </c>
      <c r="M1309" s="124" t="s">
        <v>8</v>
      </c>
      <c r="N1309" s="123">
        <f t="shared" si="380"/>
        <v>0</v>
      </c>
      <c r="Y1309" s="123">
        <f t="shared" si="381"/>
        <v>0</v>
      </c>
      <c r="Z1309" s="123">
        <f t="shared" si="382"/>
        <v>0</v>
      </c>
      <c r="AA1309" s="123">
        <f t="shared" si="383"/>
        <v>0</v>
      </c>
      <c r="AC1309" s="125">
        <v>20</v>
      </c>
      <c r="AD1309" s="125">
        <f t="shared" si="384"/>
        <v>0</v>
      </c>
      <c r="AE1309" s="125">
        <f t="shared" si="385"/>
        <v>0</v>
      </c>
    </row>
    <row r="1310" spans="1:31" s="90" customFormat="1" ht="11.25">
      <c r="A1310" s="122" t="s">
        <v>1016</v>
      </c>
      <c r="B1310" s="122" t="s">
        <v>2072</v>
      </c>
      <c r="C1310" s="122" t="s">
        <v>3360</v>
      </c>
      <c r="D1310" s="122" t="s">
        <v>3456</v>
      </c>
      <c r="E1310" s="123">
        <v>2</v>
      </c>
      <c r="F1310" s="123">
        <v>0</v>
      </c>
      <c r="G1310" s="123">
        <f t="shared" si="376"/>
        <v>0</v>
      </c>
      <c r="H1310" s="123">
        <f t="shared" si="377"/>
        <v>0</v>
      </c>
      <c r="I1310" s="123">
        <f t="shared" si="378"/>
        <v>0</v>
      </c>
      <c r="J1310" s="123">
        <v>0</v>
      </c>
      <c r="K1310" s="123">
        <f t="shared" si="379"/>
        <v>0</v>
      </c>
      <c r="M1310" s="124" t="s">
        <v>8</v>
      </c>
      <c r="N1310" s="123">
        <f t="shared" si="380"/>
        <v>0</v>
      </c>
      <c r="Y1310" s="123">
        <f t="shared" si="381"/>
        <v>0</v>
      </c>
      <c r="Z1310" s="123">
        <f t="shared" si="382"/>
        <v>0</v>
      </c>
      <c r="AA1310" s="123">
        <f t="shared" si="383"/>
        <v>0</v>
      </c>
      <c r="AC1310" s="125">
        <v>20</v>
      </c>
      <c r="AD1310" s="125">
        <f t="shared" si="384"/>
        <v>0</v>
      </c>
      <c r="AE1310" s="125">
        <f t="shared" si="385"/>
        <v>0</v>
      </c>
    </row>
    <row r="1311" spans="1:31" s="90" customFormat="1" ht="11.25">
      <c r="A1311" s="122" t="s">
        <v>1017</v>
      </c>
      <c r="B1311" s="122" t="s">
        <v>2073</v>
      </c>
      <c r="C1311" s="122" t="s">
        <v>3361</v>
      </c>
      <c r="D1311" s="122" t="s">
        <v>3456</v>
      </c>
      <c r="E1311" s="123">
        <v>1</v>
      </c>
      <c r="F1311" s="123">
        <v>0</v>
      </c>
      <c r="G1311" s="123">
        <f t="shared" si="376"/>
        <v>0</v>
      </c>
      <c r="H1311" s="123">
        <f t="shared" si="377"/>
        <v>0</v>
      </c>
      <c r="I1311" s="123">
        <f t="shared" si="378"/>
        <v>0</v>
      </c>
      <c r="J1311" s="123">
        <v>0</v>
      </c>
      <c r="K1311" s="123">
        <f t="shared" si="379"/>
        <v>0</v>
      </c>
      <c r="M1311" s="124" t="s">
        <v>8</v>
      </c>
      <c r="N1311" s="123">
        <f t="shared" si="380"/>
        <v>0</v>
      </c>
      <c r="Y1311" s="123">
        <f t="shared" si="381"/>
        <v>0</v>
      </c>
      <c r="Z1311" s="123">
        <f t="shared" si="382"/>
        <v>0</v>
      </c>
      <c r="AA1311" s="123">
        <f t="shared" si="383"/>
        <v>0</v>
      </c>
      <c r="AC1311" s="125">
        <v>20</v>
      </c>
      <c r="AD1311" s="125">
        <f t="shared" si="384"/>
        <v>0</v>
      </c>
      <c r="AE1311" s="125">
        <f t="shared" si="385"/>
        <v>0</v>
      </c>
    </row>
    <row r="1312" spans="1:31" s="90" customFormat="1" ht="11.25">
      <c r="A1312" s="122" t="s">
        <v>1018</v>
      </c>
      <c r="B1312" s="122" t="s">
        <v>2074</v>
      </c>
      <c r="C1312" s="122" t="s">
        <v>3362</v>
      </c>
      <c r="D1312" s="122" t="s">
        <v>3456</v>
      </c>
      <c r="E1312" s="123">
        <v>2</v>
      </c>
      <c r="F1312" s="123">
        <v>0</v>
      </c>
      <c r="G1312" s="123">
        <f t="shared" si="376"/>
        <v>0</v>
      </c>
      <c r="H1312" s="123">
        <f t="shared" si="377"/>
        <v>0</v>
      </c>
      <c r="I1312" s="123">
        <f t="shared" si="378"/>
        <v>0</v>
      </c>
      <c r="J1312" s="123">
        <v>0</v>
      </c>
      <c r="K1312" s="123">
        <f t="shared" si="379"/>
        <v>0</v>
      </c>
      <c r="M1312" s="124" t="s">
        <v>8</v>
      </c>
      <c r="N1312" s="123">
        <f t="shared" si="380"/>
        <v>0</v>
      </c>
      <c r="Y1312" s="123">
        <f t="shared" si="381"/>
        <v>0</v>
      </c>
      <c r="Z1312" s="123">
        <f t="shared" si="382"/>
        <v>0</v>
      </c>
      <c r="AA1312" s="123">
        <f t="shared" si="383"/>
        <v>0</v>
      </c>
      <c r="AC1312" s="125">
        <v>20</v>
      </c>
      <c r="AD1312" s="125">
        <f t="shared" si="384"/>
        <v>0</v>
      </c>
      <c r="AE1312" s="125">
        <f t="shared" si="385"/>
        <v>0</v>
      </c>
    </row>
    <row r="1313" spans="1:31" s="90" customFormat="1" ht="11.25">
      <c r="A1313" s="122" t="s">
        <v>1019</v>
      </c>
      <c r="B1313" s="122" t="s">
        <v>2075</v>
      </c>
      <c r="C1313" s="122" t="s">
        <v>3363</v>
      </c>
      <c r="D1313" s="122" t="s">
        <v>3456</v>
      </c>
      <c r="E1313" s="123">
        <v>1</v>
      </c>
      <c r="F1313" s="123">
        <v>0</v>
      </c>
      <c r="G1313" s="123">
        <f t="shared" si="376"/>
        <v>0</v>
      </c>
      <c r="H1313" s="123">
        <f t="shared" si="377"/>
        <v>0</v>
      </c>
      <c r="I1313" s="123">
        <f t="shared" si="378"/>
        <v>0</v>
      </c>
      <c r="J1313" s="123">
        <v>0</v>
      </c>
      <c r="K1313" s="123">
        <f t="shared" si="379"/>
        <v>0</v>
      </c>
      <c r="M1313" s="124" t="s">
        <v>8</v>
      </c>
      <c r="N1313" s="123">
        <f t="shared" si="380"/>
        <v>0</v>
      </c>
      <c r="Y1313" s="123">
        <f t="shared" si="381"/>
        <v>0</v>
      </c>
      <c r="Z1313" s="123">
        <f t="shared" si="382"/>
        <v>0</v>
      </c>
      <c r="AA1313" s="123">
        <f t="shared" si="383"/>
        <v>0</v>
      </c>
      <c r="AC1313" s="125">
        <v>20</v>
      </c>
      <c r="AD1313" s="125">
        <f t="shared" si="384"/>
        <v>0</v>
      </c>
      <c r="AE1313" s="125">
        <f t="shared" si="385"/>
        <v>0</v>
      </c>
    </row>
    <row r="1314" spans="1:31" s="90" customFormat="1" ht="11.25">
      <c r="A1314" s="122" t="s">
        <v>1020</v>
      </c>
      <c r="B1314" s="122" t="s">
        <v>2076</v>
      </c>
      <c r="C1314" s="122" t="s">
        <v>3364</v>
      </c>
      <c r="D1314" s="122" t="s">
        <v>3456</v>
      </c>
      <c r="E1314" s="123">
        <v>1</v>
      </c>
      <c r="F1314" s="123">
        <v>0</v>
      </c>
      <c r="G1314" s="123">
        <f t="shared" si="376"/>
        <v>0</v>
      </c>
      <c r="H1314" s="123">
        <f t="shared" si="377"/>
        <v>0</v>
      </c>
      <c r="I1314" s="123">
        <f t="shared" si="378"/>
        <v>0</v>
      </c>
      <c r="J1314" s="123">
        <v>0</v>
      </c>
      <c r="K1314" s="123">
        <f t="shared" si="379"/>
        <v>0</v>
      </c>
      <c r="M1314" s="124" t="s">
        <v>8</v>
      </c>
      <c r="N1314" s="123">
        <f t="shared" si="380"/>
        <v>0</v>
      </c>
      <c r="Y1314" s="123">
        <f t="shared" si="381"/>
        <v>0</v>
      </c>
      <c r="Z1314" s="123">
        <f t="shared" si="382"/>
        <v>0</v>
      </c>
      <c r="AA1314" s="123">
        <f t="shared" si="383"/>
        <v>0</v>
      </c>
      <c r="AC1314" s="125">
        <v>20</v>
      </c>
      <c r="AD1314" s="125">
        <f t="shared" si="384"/>
        <v>0</v>
      </c>
      <c r="AE1314" s="125">
        <f t="shared" si="385"/>
        <v>0</v>
      </c>
    </row>
    <row r="1315" spans="1:31" s="90" customFormat="1" ht="11.25">
      <c r="A1315" s="122" t="s">
        <v>1021</v>
      </c>
      <c r="B1315" s="122" t="s">
        <v>2077</v>
      </c>
      <c r="C1315" s="122" t="s">
        <v>3365</v>
      </c>
      <c r="D1315" s="122" t="s">
        <v>3456</v>
      </c>
      <c r="E1315" s="123">
        <v>1</v>
      </c>
      <c r="F1315" s="123">
        <v>0</v>
      </c>
      <c r="G1315" s="123">
        <f t="shared" si="376"/>
        <v>0</v>
      </c>
      <c r="H1315" s="123">
        <f t="shared" si="377"/>
        <v>0</v>
      </c>
      <c r="I1315" s="123">
        <f t="shared" si="378"/>
        <v>0</v>
      </c>
      <c r="J1315" s="123">
        <v>0</v>
      </c>
      <c r="K1315" s="123">
        <f t="shared" si="379"/>
        <v>0</v>
      </c>
      <c r="M1315" s="124" t="s">
        <v>8</v>
      </c>
      <c r="N1315" s="123">
        <f t="shared" si="380"/>
        <v>0</v>
      </c>
      <c r="Y1315" s="123">
        <f t="shared" si="381"/>
        <v>0</v>
      </c>
      <c r="Z1315" s="123">
        <f t="shared" si="382"/>
        <v>0</v>
      </c>
      <c r="AA1315" s="123">
        <f t="shared" si="383"/>
        <v>0</v>
      </c>
      <c r="AC1315" s="125">
        <v>20</v>
      </c>
      <c r="AD1315" s="125">
        <f t="shared" si="384"/>
        <v>0</v>
      </c>
      <c r="AE1315" s="125">
        <f t="shared" si="385"/>
        <v>0</v>
      </c>
    </row>
    <row r="1316" spans="1:31" s="90" customFormat="1" ht="11.25">
      <c r="A1316" s="122" t="s">
        <v>1022</v>
      </c>
      <c r="B1316" s="122" t="s">
        <v>2078</v>
      </c>
      <c r="C1316" s="122" t="s">
        <v>3366</v>
      </c>
      <c r="D1316" s="122" t="s">
        <v>3456</v>
      </c>
      <c r="E1316" s="123">
        <v>1</v>
      </c>
      <c r="F1316" s="123">
        <v>0</v>
      </c>
      <c r="G1316" s="123">
        <f t="shared" si="376"/>
        <v>0</v>
      </c>
      <c r="H1316" s="123">
        <f t="shared" si="377"/>
        <v>0</v>
      </c>
      <c r="I1316" s="123">
        <f t="shared" si="378"/>
        <v>0</v>
      </c>
      <c r="J1316" s="123">
        <v>0</v>
      </c>
      <c r="K1316" s="123">
        <f t="shared" si="379"/>
        <v>0</v>
      </c>
      <c r="M1316" s="124" t="s">
        <v>8</v>
      </c>
      <c r="N1316" s="123">
        <f t="shared" si="380"/>
        <v>0</v>
      </c>
      <c r="Y1316" s="123">
        <f t="shared" si="381"/>
        <v>0</v>
      </c>
      <c r="Z1316" s="123">
        <f t="shared" si="382"/>
        <v>0</v>
      </c>
      <c r="AA1316" s="123">
        <f t="shared" si="383"/>
        <v>0</v>
      </c>
      <c r="AC1316" s="125">
        <v>20</v>
      </c>
      <c r="AD1316" s="125">
        <f t="shared" si="384"/>
        <v>0</v>
      </c>
      <c r="AE1316" s="125">
        <f t="shared" si="385"/>
        <v>0</v>
      </c>
    </row>
    <row r="1317" spans="1:31" s="90" customFormat="1" ht="11.25">
      <c r="A1317" s="122" t="s">
        <v>1023</v>
      </c>
      <c r="B1317" s="122" t="s">
        <v>2079</v>
      </c>
      <c r="C1317" s="122" t="s">
        <v>3367</v>
      </c>
      <c r="D1317" s="122" t="s">
        <v>3456</v>
      </c>
      <c r="E1317" s="123">
        <v>2</v>
      </c>
      <c r="F1317" s="123">
        <v>0</v>
      </c>
      <c r="G1317" s="123">
        <f t="shared" si="376"/>
        <v>0</v>
      </c>
      <c r="H1317" s="123">
        <f t="shared" si="377"/>
        <v>0</v>
      </c>
      <c r="I1317" s="123">
        <f t="shared" si="378"/>
        <v>0</v>
      </c>
      <c r="J1317" s="123">
        <v>0</v>
      </c>
      <c r="K1317" s="123">
        <f t="shared" si="379"/>
        <v>0</v>
      </c>
      <c r="M1317" s="124" t="s">
        <v>8</v>
      </c>
      <c r="N1317" s="123">
        <f t="shared" si="380"/>
        <v>0</v>
      </c>
      <c r="Y1317" s="123">
        <f t="shared" si="381"/>
        <v>0</v>
      </c>
      <c r="Z1317" s="123">
        <f t="shared" si="382"/>
        <v>0</v>
      </c>
      <c r="AA1317" s="123">
        <f t="shared" si="383"/>
        <v>0</v>
      </c>
      <c r="AC1317" s="125">
        <v>20</v>
      </c>
      <c r="AD1317" s="125">
        <f t="shared" si="384"/>
        <v>0</v>
      </c>
      <c r="AE1317" s="125">
        <f t="shared" si="385"/>
        <v>0</v>
      </c>
    </row>
    <row r="1318" spans="1:31" s="90" customFormat="1" ht="11.25">
      <c r="A1318" s="122" t="s">
        <v>1024</v>
      </c>
      <c r="B1318" s="122" t="s">
        <v>2080</v>
      </c>
      <c r="C1318" s="122" t="s">
        <v>3368</v>
      </c>
      <c r="D1318" s="122" t="s">
        <v>3456</v>
      </c>
      <c r="E1318" s="123">
        <v>1</v>
      </c>
      <c r="F1318" s="123">
        <v>0</v>
      </c>
      <c r="G1318" s="123">
        <f t="shared" si="376"/>
        <v>0</v>
      </c>
      <c r="H1318" s="123">
        <f t="shared" si="377"/>
        <v>0</v>
      </c>
      <c r="I1318" s="123">
        <f t="shared" si="378"/>
        <v>0</v>
      </c>
      <c r="J1318" s="123">
        <v>0</v>
      </c>
      <c r="K1318" s="123">
        <f t="shared" si="379"/>
        <v>0</v>
      </c>
      <c r="M1318" s="124" t="s">
        <v>8</v>
      </c>
      <c r="N1318" s="123">
        <f t="shared" si="380"/>
        <v>0</v>
      </c>
      <c r="Y1318" s="123">
        <f t="shared" si="381"/>
        <v>0</v>
      </c>
      <c r="Z1318" s="123">
        <f t="shared" si="382"/>
        <v>0</v>
      </c>
      <c r="AA1318" s="123">
        <f t="shared" si="383"/>
        <v>0</v>
      </c>
      <c r="AC1318" s="125">
        <v>20</v>
      </c>
      <c r="AD1318" s="125">
        <f t="shared" si="384"/>
        <v>0</v>
      </c>
      <c r="AE1318" s="125">
        <f t="shared" si="385"/>
        <v>0</v>
      </c>
    </row>
    <row r="1319" spans="1:31" s="90" customFormat="1" ht="11.25">
      <c r="A1319" s="122" t="s">
        <v>1025</v>
      </c>
      <c r="B1319" s="122" t="s">
        <v>2081</v>
      </c>
      <c r="C1319" s="122" t="s">
        <v>3369</v>
      </c>
      <c r="D1319" s="122" t="s">
        <v>3456</v>
      </c>
      <c r="E1319" s="123">
        <v>2</v>
      </c>
      <c r="F1319" s="123">
        <v>0</v>
      </c>
      <c r="G1319" s="123">
        <f t="shared" si="376"/>
        <v>0</v>
      </c>
      <c r="H1319" s="123">
        <f t="shared" si="377"/>
        <v>0</v>
      </c>
      <c r="I1319" s="123">
        <f t="shared" si="378"/>
        <v>0</v>
      </c>
      <c r="J1319" s="123">
        <v>0</v>
      </c>
      <c r="K1319" s="123">
        <f t="shared" si="379"/>
        <v>0</v>
      </c>
      <c r="M1319" s="124" t="s">
        <v>8</v>
      </c>
      <c r="N1319" s="123">
        <f t="shared" si="380"/>
        <v>0</v>
      </c>
      <c r="Y1319" s="123">
        <f t="shared" si="381"/>
        <v>0</v>
      </c>
      <c r="Z1319" s="123">
        <f t="shared" si="382"/>
        <v>0</v>
      </c>
      <c r="AA1319" s="123">
        <f t="shared" si="383"/>
        <v>0</v>
      </c>
      <c r="AC1319" s="125">
        <v>20</v>
      </c>
      <c r="AD1319" s="125">
        <f t="shared" si="384"/>
        <v>0</v>
      </c>
      <c r="AE1319" s="125">
        <f t="shared" si="385"/>
        <v>0</v>
      </c>
    </row>
    <row r="1320" spans="1:31" s="90" customFormat="1" ht="11.25">
      <c r="A1320" s="122" t="s">
        <v>1026</v>
      </c>
      <c r="B1320" s="122" t="s">
        <v>2082</v>
      </c>
      <c r="C1320" s="122" t="s">
        <v>3370</v>
      </c>
      <c r="D1320" s="122" t="s">
        <v>3456</v>
      </c>
      <c r="E1320" s="123">
        <v>1</v>
      </c>
      <c r="F1320" s="123">
        <v>0</v>
      </c>
      <c r="G1320" s="123">
        <f t="shared" si="376"/>
        <v>0</v>
      </c>
      <c r="H1320" s="123">
        <f t="shared" si="377"/>
        <v>0</v>
      </c>
      <c r="I1320" s="123">
        <f t="shared" si="378"/>
        <v>0</v>
      </c>
      <c r="J1320" s="123">
        <v>0</v>
      </c>
      <c r="K1320" s="123">
        <f t="shared" si="379"/>
        <v>0</v>
      </c>
      <c r="M1320" s="124" t="s">
        <v>8</v>
      </c>
      <c r="N1320" s="123">
        <f t="shared" si="380"/>
        <v>0</v>
      </c>
      <c r="Y1320" s="123">
        <f t="shared" si="381"/>
        <v>0</v>
      </c>
      <c r="Z1320" s="123">
        <f t="shared" si="382"/>
        <v>0</v>
      </c>
      <c r="AA1320" s="123">
        <f t="shared" si="383"/>
        <v>0</v>
      </c>
      <c r="AC1320" s="125">
        <v>20</v>
      </c>
      <c r="AD1320" s="125">
        <f t="shared" si="384"/>
        <v>0</v>
      </c>
      <c r="AE1320" s="125">
        <f t="shared" si="385"/>
        <v>0</v>
      </c>
    </row>
    <row r="1321" spans="1:31" s="90" customFormat="1" ht="11.25">
      <c r="A1321" s="122" t="s">
        <v>1027</v>
      </c>
      <c r="B1321" s="122" t="s">
        <v>2083</v>
      </c>
      <c r="C1321" s="122" t="s">
        <v>3371</v>
      </c>
      <c r="D1321" s="122" t="s">
        <v>3456</v>
      </c>
      <c r="E1321" s="123">
        <v>4</v>
      </c>
      <c r="F1321" s="123">
        <v>0</v>
      </c>
      <c r="G1321" s="123">
        <f t="shared" si="376"/>
        <v>0</v>
      </c>
      <c r="H1321" s="123">
        <f t="shared" si="377"/>
        <v>0</v>
      </c>
      <c r="I1321" s="123">
        <f t="shared" si="378"/>
        <v>0</v>
      </c>
      <c r="J1321" s="123">
        <v>0</v>
      </c>
      <c r="K1321" s="123">
        <f t="shared" si="379"/>
        <v>0</v>
      </c>
      <c r="M1321" s="124" t="s">
        <v>8</v>
      </c>
      <c r="N1321" s="123">
        <f t="shared" si="380"/>
        <v>0</v>
      </c>
      <c r="Y1321" s="123">
        <f t="shared" si="381"/>
        <v>0</v>
      </c>
      <c r="Z1321" s="123">
        <f t="shared" si="382"/>
        <v>0</v>
      </c>
      <c r="AA1321" s="123">
        <f t="shared" si="383"/>
        <v>0</v>
      </c>
      <c r="AC1321" s="125">
        <v>20</v>
      </c>
      <c r="AD1321" s="125">
        <f t="shared" si="384"/>
        <v>0</v>
      </c>
      <c r="AE1321" s="125">
        <f t="shared" si="385"/>
        <v>0</v>
      </c>
    </row>
    <row r="1322" spans="1:31" s="90" customFormat="1" ht="11.25">
      <c r="A1322" s="122" t="s">
        <v>1028</v>
      </c>
      <c r="B1322" s="122" t="s">
        <v>2084</v>
      </c>
      <c r="C1322" s="122" t="s">
        <v>3372</v>
      </c>
      <c r="D1322" s="122" t="s">
        <v>3456</v>
      </c>
      <c r="E1322" s="123">
        <v>8</v>
      </c>
      <c r="F1322" s="123">
        <v>0</v>
      </c>
      <c r="G1322" s="123">
        <f t="shared" si="376"/>
        <v>0</v>
      </c>
      <c r="H1322" s="123">
        <f t="shared" si="377"/>
        <v>0</v>
      </c>
      <c r="I1322" s="123">
        <f t="shared" si="378"/>
        <v>0</v>
      </c>
      <c r="J1322" s="123">
        <v>0</v>
      </c>
      <c r="K1322" s="123">
        <f t="shared" si="379"/>
        <v>0</v>
      </c>
      <c r="M1322" s="124" t="s">
        <v>8</v>
      </c>
      <c r="N1322" s="123">
        <f t="shared" si="380"/>
        <v>0</v>
      </c>
      <c r="Y1322" s="123">
        <f t="shared" si="381"/>
        <v>0</v>
      </c>
      <c r="Z1322" s="123">
        <f t="shared" si="382"/>
        <v>0</v>
      </c>
      <c r="AA1322" s="123">
        <f t="shared" si="383"/>
        <v>0</v>
      </c>
      <c r="AC1322" s="125">
        <v>20</v>
      </c>
      <c r="AD1322" s="125">
        <f t="shared" si="384"/>
        <v>0</v>
      </c>
      <c r="AE1322" s="125">
        <f t="shared" si="385"/>
        <v>0</v>
      </c>
    </row>
    <row r="1323" spans="1:31" s="90" customFormat="1" ht="11.25">
      <c r="A1323" s="122" t="s">
        <v>1029</v>
      </c>
      <c r="B1323" s="122" t="s">
        <v>2085</v>
      </c>
      <c r="C1323" s="122" t="s">
        <v>3373</v>
      </c>
      <c r="D1323" s="122" t="s">
        <v>3456</v>
      </c>
      <c r="E1323" s="123">
        <v>2</v>
      </c>
      <c r="F1323" s="123">
        <v>0</v>
      </c>
      <c r="G1323" s="123">
        <f t="shared" si="376"/>
        <v>0</v>
      </c>
      <c r="H1323" s="123">
        <f t="shared" si="377"/>
        <v>0</v>
      </c>
      <c r="I1323" s="123">
        <f t="shared" si="378"/>
        <v>0</v>
      </c>
      <c r="J1323" s="123">
        <v>0</v>
      </c>
      <c r="K1323" s="123">
        <f t="shared" si="379"/>
        <v>0</v>
      </c>
      <c r="M1323" s="124" t="s">
        <v>8</v>
      </c>
      <c r="N1323" s="123">
        <f t="shared" si="380"/>
        <v>0</v>
      </c>
      <c r="Y1323" s="123">
        <f t="shared" si="381"/>
        <v>0</v>
      </c>
      <c r="Z1323" s="123">
        <f t="shared" si="382"/>
        <v>0</v>
      </c>
      <c r="AA1323" s="123">
        <f t="shared" si="383"/>
        <v>0</v>
      </c>
      <c r="AC1323" s="125">
        <v>20</v>
      </c>
      <c r="AD1323" s="125">
        <f t="shared" si="384"/>
        <v>0</v>
      </c>
      <c r="AE1323" s="125">
        <f t="shared" si="385"/>
        <v>0</v>
      </c>
    </row>
    <row r="1324" spans="1:31" s="90" customFormat="1" ht="11.25">
      <c r="A1324" s="122" t="s">
        <v>1030</v>
      </c>
      <c r="B1324" s="122" t="s">
        <v>2086</v>
      </c>
      <c r="C1324" s="122" t="s">
        <v>3374</v>
      </c>
      <c r="D1324" s="122" t="s">
        <v>3456</v>
      </c>
      <c r="E1324" s="123">
        <v>8</v>
      </c>
      <c r="F1324" s="123">
        <v>0</v>
      </c>
      <c r="G1324" s="123">
        <f t="shared" si="376"/>
        <v>0</v>
      </c>
      <c r="H1324" s="123">
        <f t="shared" si="377"/>
        <v>0</v>
      </c>
      <c r="I1324" s="123">
        <f t="shared" si="378"/>
        <v>0</v>
      </c>
      <c r="J1324" s="123">
        <v>0</v>
      </c>
      <c r="K1324" s="123">
        <f t="shared" si="379"/>
        <v>0</v>
      </c>
      <c r="M1324" s="124" t="s">
        <v>8</v>
      </c>
      <c r="N1324" s="123">
        <f t="shared" si="380"/>
        <v>0</v>
      </c>
      <c r="Y1324" s="123">
        <f t="shared" si="381"/>
        <v>0</v>
      </c>
      <c r="Z1324" s="123">
        <f t="shared" si="382"/>
        <v>0</v>
      </c>
      <c r="AA1324" s="123">
        <f t="shared" si="383"/>
        <v>0</v>
      </c>
      <c r="AC1324" s="125">
        <v>20</v>
      </c>
      <c r="AD1324" s="125">
        <f t="shared" si="384"/>
        <v>0</v>
      </c>
      <c r="AE1324" s="125">
        <f t="shared" si="385"/>
        <v>0</v>
      </c>
    </row>
    <row r="1325" spans="1:31" s="90" customFormat="1" ht="11.25">
      <c r="A1325" s="122" t="s">
        <v>1031</v>
      </c>
      <c r="B1325" s="122" t="s">
        <v>2087</v>
      </c>
      <c r="C1325" s="122" t="s">
        <v>3375</v>
      </c>
      <c r="D1325" s="122" t="s">
        <v>3456</v>
      </c>
      <c r="E1325" s="123">
        <v>2</v>
      </c>
      <c r="F1325" s="123">
        <v>0</v>
      </c>
      <c r="G1325" s="123">
        <f t="shared" si="376"/>
        <v>0</v>
      </c>
      <c r="H1325" s="123">
        <f t="shared" si="377"/>
        <v>0</v>
      </c>
      <c r="I1325" s="123">
        <f t="shared" si="378"/>
        <v>0</v>
      </c>
      <c r="J1325" s="123">
        <v>0</v>
      </c>
      <c r="K1325" s="123">
        <f t="shared" si="379"/>
        <v>0</v>
      </c>
      <c r="M1325" s="124" t="s">
        <v>8</v>
      </c>
      <c r="N1325" s="123">
        <f t="shared" si="380"/>
        <v>0</v>
      </c>
      <c r="Y1325" s="123">
        <f t="shared" si="381"/>
        <v>0</v>
      </c>
      <c r="Z1325" s="123">
        <f t="shared" si="382"/>
        <v>0</v>
      </c>
      <c r="AA1325" s="123">
        <f t="shared" si="383"/>
        <v>0</v>
      </c>
      <c r="AC1325" s="125">
        <v>20</v>
      </c>
      <c r="AD1325" s="125">
        <f t="shared" si="384"/>
        <v>0</v>
      </c>
      <c r="AE1325" s="125">
        <f t="shared" si="385"/>
        <v>0</v>
      </c>
    </row>
    <row r="1326" spans="1:31" s="90" customFormat="1" ht="11.25">
      <c r="A1326" s="122" t="s">
        <v>1032</v>
      </c>
      <c r="B1326" s="122" t="s">
        <v>2088</v>
      </c>
      <c r="C1326" s="122" t="s">
        <v>3376</v>
      </c>
      <c r="D1326" s="122" t="s">
        <v>3456</v>
      </c>
      <c r="E1326" s="123">
        <v>9</v>
      </c>
      <c r="F1326" s="123">
        <v>0</v>
      </c>
      <c r="G1326" s="123">
        <f t="shared" si="376"/>
        <v>0</v>
      </c>
      <c r="H1326" s="123">
        <f t="shared" si="377"/>
        <v>0</v>
      </c>
      <c r="I1326" s="123">
        <f t="shared" si="378"/>
        <v>0</v>
      </c>
      <c r="J1326" s="123">
        <v>0</v>
      </c>
      <c r="K1326" s="123">
        <f t="shared" si="379"/>
        <v>0</v>
      </c>
      <c r="M1326" s="124" t="s">
        <v>8</v>
      </c>
      <c r="N1326" s="123">
        <f t="shared" si="380"/>
        <v>0</v>
      </c>
      <c r="Y1326" s="123">
        <f t="shared" si="381"/>
        <v>0</v>
      </c>
      <c r="Z1326" s="123">
        <f t="shared" si="382"/>
        <v>0</v>
      </c>
      <c r="AA1326" s="123">
        <f t="shared" si="383"/>
        <v>0</v>
      </c>
      <c r="AC1326" s="125">
        <v>20</v>
      </c>
      <c r="AD1326" s="125">
        <f t="shared" si="384"/>
        <v>0</v>
      </c>
      <c r="AE1326" s="125">
        <f t="shared" si="385"/>
        <v>0</v>
      </c>
    </row>
    <row r="1327" spans="1:31" s="90" customFormat="1" ht="11.25">
      <c r="A1327" s="122" t="s">
        <v>1033</v>
      </c>
      <c r="B1327" s="122" t="s">
        <v>2089</v>
      </c>
      <c r="C1327" s="122" t="s">
        <v>3377</v>
      </c>
      <c r="D1327" s="122" t="s">
        <v>3456</v>
      </c>
      <c r="E1327" s="123">
        <v>3</v>
      </c>
      <c r="F1327" s="123">
        <v>0</v>
      </c>
      <c r="G1327" s="123">
        <f t="shared" si="376"/>
        <v>0</v>
      </c>
      <c r="H1327" s="123">
        <f t="shared" si="377"/>
        <v>0</v>
      </c>
      <c r="I1327" s="123">
        <f t="shared" si="378"/>
        <v>0</v>
      </c>
      <c r="J1327" s="123">
        <v>0</v>
      </c>
      <c r="K1327" s="123">
        <f t="shared" si="379"/>
        <v>0</v>
      </c>
      <c r="M1327" s="124" t="s">
        <v>8</v>
      </c>
      <c r="N1327" s="123">
        <f t="shared" si="380"/>
        <v>0</v>
      </c>
      <c r="Y1327" s="123">
        <f t="shared" si="381"/>
        <v>0</v>
      </c>
      <c r="Z1327" s="123">
        <f t="shared" si="382"/>
        <v>0</v>
      </c>
      <c r="AA1327" s="123">
        <f t="shared" si="383"/>
        <v>0</v>
      </c>
      <c r="AC1327" s="125">
        <v>20</v>
      </c>
      <c r="AD1327" s="125">
        <f t="shared" si="384"/>
        <v>0</v>
      </c>
      <c r="AE1327" s="125">
        <f t="shared" si="385"/>
        <v>0</v>
      </c>
    </row>
    <row r="1328" spans="1:31" s="90" customFormat="1" ht="11.25">
      <c r="A1328" s="122" t="s">
        <v>1034</v>
      </c>
      <c r="B1328" s="122" t="s">
        <v>2090</v>
      </c>
      <c r="C1328" s="122" t="s">
        <v>3378</v>
      </c>
      <c r="D1328" s="122" t="s">
        <v>3456</v>
      </c>
      <c r="E1328" s="123">
        <v>2</v>
      </c>
      <c r="F1328" s="123">
        <v>0</v>
      </c>
      <c r="G1328" s="123">
        <f t="shared" si="376"/>
        <v>0</v>
      </c>
      <c r="H1328" s="123">
        <f t="shared" si="377"/>
        <v>0</v>
      </c>
      <c r="I1328" s="123">
        <f t="shared" si="378"/>
        <v>0</v>
      </c>
      <c r="J1328" s="123">
        <v>0</v>
      </c>
      <c r="K1328" s="123">
        <f t="shared" si="379"/>
        <v>0</v>
      </c>
      <c r="M1328" s="124" t="s">
        <v>8</v>
      </c>
      <c r="N1328" s="123">
        <f t="shared" si="380"/>
        <v>0</v>
      </c>
      <c r="Y1328" s="123">
        <f t="shared" si="381"/>
        <v>0</v>
      </c>
      <c r="Z1328" s="123">
        <f t="shared" si="382"/>
        <v>0</v>
      </c>
      <c r="AA1328" s="123">
        <f t="shared" si="383"/>
        <v>0</v>
      </c>
      <c r="AC1328" s="125">
        <v>20</v>
      </c>
      <c r="AD1328" s="125">
        <f t="shared" si="384"/>
        <v>0</v>
      </c>
      <c r="AE1328" s="125">
        <f t="shared" si="385"/>
        <v>0</v>
      </c>
    </row>
    <row r="1329" spans="1:31" s="90" customFormat="1" ht="11.25">
      <c r="A1329" s="122" t="s">
        <v>1035</v>
      </c>
      <c r="B1329" s="122" t="s">
        <v>2091</v>
      </c>
      <c r="C1329" s="122" t="s">
        <v>3379</v>
      </c>
      <c r="D1329" s="122" t="s">
        <v>3456</v>
      </c>
      <c r="E1329" s="123">
        <v>4</v>
      </c>
      <c r="F1329" s="123">
        <v>0</v>
      </c>
      <c r="G1329" s="123">
        <f t="shared" si="376"/>
        <v>0</v>
      </c>
      <c r="H1329" s="123">
        <f t="shared" si="377"/>
        <v>0</v>
      </c>
      <c r="I1329" s="123">
        <f t="shared" si="378"/>
        <v>0</v>
      </c>
      <c r="J1329" s="123">
        <v>0</v>
      </c>
      <c r="K1329" s="123">
        <f t="shared" si="379"/>
        <v>0</v>
      </c>
      <c r="M1329" s="124" t="s">
        <v>8</v>
      </c>
      <c r="N1329" s="123">
        <f t="shared" si="380"/>
        <v>0</v>
      </c>
      <c r="Y1329" s="123">
        <f t="shared" si="381"/>
        <v>0</v>
      </c>
      <c r="Z1329" s="123">
        <f t="shared" si="382"/>
        <v>0</v>
      </c>
      <c r="AA1329" s="123">
        <f t="shared" si="383"/>
        <v>0</v>
      </c>
      <c r="AC1329" s="125">
        <v>20</v>
      </c>
      <c r="AD1329" s="125">
        <f t="shared" si="384"/>
        <v>0</v>
      </c>
      <c r="AE1329" s="125">
        <f t="shared" si="385"/>
        <v>0</v>
      </c>
    </row>
    <row r="1330" spans="1:31" s="90" customFormat="1" ht="11.25">
      <c r="A1330" s="122" t="s">
        <v>1036</v>
      </c>
      <c r="B1330" s="122" t="s">
        <v>2092</v>
      </c>
      <c r="C1330" s="122" t="s">
        <v>3380</v>
      </c>
      <c r="D1330" s="122" t="s">
        <v>3456</v>
      </c>
      <c r="E1330" s="123">
        <v>4</v>
      </c>
      <c r="F1330" s="123">
        <v>0</v>
      </c>
      <c r="G1330" s="123">
        <f t="shared" si="376"/>
        <v>0</v>
      </c>
      <c r="H1330" s="123">
        <f t="shared" si="377"/>
        <v>0</v>
      </c>
      <c r="I1330" s="123">
        <f t="shared" si="378"/>
        <v>0</v>
      </c>
      <c r="J1330" s="123">
        <v>0</v>
      </c>
      <c r="K1330" s="123">
        <f t="shared" si="379"/>
        <v>0</v>
      </c>
      <c r="M1330" s="124" t="s">
        <v>8</v>
      </c>
      <c r="N1330" s="123">
        <f t="shared" si="380"/>
        <v>0</v>
      </c>
      <c r="Y1330" s="123">
        <f t="shared" si="381"/>
        <v>0</v>
      </c>
      <c r="Z1330" s="123">
        <f t="shared" si="382"/>
        <v>0</v>
      </c>
      <c r="AA1330" s="123">
        <f t="shared" si="383"/>
        <v>0</v>
      </c>
      <c r="AC1330" s="125">
        <v>20</v>
      </c>
      <c r="AD1330" s="125">
        <f t="shared" si="384"/>
        <v>0</v>
      </c>
      <c r="AE1330" s="125">
        <f t="shared" si="385"/>
        <v>0</v>
      </c>
    </row>
    <row r="1331" spans="1:31" s="90" customFormat="1" ht="11.25">
      <c r="A1331" s="122" t="s">
        <v>1037</v>
      </c>
      <c r="B1331" s="122" t="s">
        <v>2093</v>
      </c>
      <c r="C1331" s="122" t="s">
        <v>3381</v>
      </c>
      <c r="D1331" s="122" t="s">
        <v>3456</v>
      </c>
      <c r="E1331" s="123">
        <v>4</v>
      </c>
      <c r="F1331" s="123">
        <v>0</v>
      </c>
      <c r="G1331" s="123">
        <f t="shared" si="376"/>
        <v>0</v>
      </c>
      <c r="H1331" s="123">
        <f t="shared" si="377"/>
        <v>0</v>
      </c>
      <c r="I1331" s="123">
        <f t="shared" si="378"/>
        <v>0</v>
      </c>
      <c r="J1331" s="123">
        <v>0</v>
      </c>
      <c r="K1331" s="123">
        <f t="shared" si="379"/>
        <v>0</v>
      </c>
      <c r="M1331" s="124" t="s">
        <v>8</v>
      </c>
      <c r="N1331" s="123">
        <f t="shared" si="380"/>
        <v>0</v>
      </c>
      <c r="Y1331" s="123">
        <f t="shared" si="381"/>
        <v>0</v>
      </c>
      <c r="Z1331" s="123">
        <f t="shared" si="382"/>
        <v>0</v>
      </c>
      <c r="AA1331" s="123">
        <f t="shared" si="383"/>
        <v>0</v>
      </c>
      <c r="AC1331" s="125">
        <v>20</v>
      </c>
      <c r="AD1331" s="125">
        <f t="shared" si="384"/>
        <v>0</v>
      </c>
      <c r="AE1331" s="125">
        <f t="shared" si="385"/>
        <v>0</v>
      </c>
    </row>
    <row r="1332" spans="1:31" s="90" customFormat="1" ht="11.25">
      <c r="A1332" s="122" t="s">
        <v>1038</v>
      </c>
      <c r="B1332" s="122" t="s">
        <v>2094</v>
      </c>
      <c r="C1332" s="122" t="s">
        <v>3382</v>
      </c>
      <c r="D1332" s="122" t="s">
        <v>3456</v>
      </c>
      <c r="E1332" s="123">
        <v>4</v>
      </c>
      <c r="F1332" s="123">
        <v>0</v>
      </c>
      <c r="G1332" s="123">
        <f t="shared" si="376"/>
        <v>0</v>
      </c>
      <c r="H1332" s="123">
        <f t="shared" si="377"/>
        <v>0</v>
      </c>
      <c r="I1332" s="123">
        <f t="shared" si="378"/>
        <v>0</v>
      </c>
      <c r="J1332" s="123">
        <v>0</v>
      </c>
      <c r="K1332" s="123">
        <f t="shared" si="379"/>
        <v>0</v>
      </c>
      <c r="M1332" s="124" t="s">
        <v>8</v>
      </c>
      <c r="N1332" s="123">
        <f t="shared" si="380"/>
        <v>0</v>
      </c>
      <c r="Y1332" s="123">
        <f t="shared" si="381"/>
        <v>0</v>
      </c>
      <c r="Z1332" s="123">
        <f t="shared" si="382"/>
        <v>0</v>
      </c>
      <c r="AA1332" s="123">
        <f t="shared" si="383"/>
        <v>0</v>
      </c>
      <c r="AC1332" s="125">
        <v>20</v>
      </c>
      <c r="AD1332" s="125">
        <f t="shared" si="384"/>
        <v>0</v>
      </c>
      <c r="AE1332" s="125">
        <f t="shared" si="385"/>
        <v>0</v>
      </c>
    </row>
    <row r="1333" spans="1:31" s="90" customFormat="1" ht="11.25">
      <c r="A1333" s="122" t="s">
        <v>1039</v>
      </c>
      <c r="B1333" s="122" t="s">
        <v>2095</v>
      </c>
      <c r="C1333" s="122" t="s">
        <v>3383</v>
      </c>
      <c r="D1333" s="122" t="s">
        <v>3455</v>
      </c>
      <c r="E1333" s="123">
        <v>50</v>
      </c>
      <c r="F1333" s="123">
        <v>0</v>
      </c>
      <c r="G1333" s="123">
        <f t="shared" si="376"/>
        <v>0</v>
      </c>
      <c r="H1333" s="123">
        <f t="shared" si="377"/>
        <v>0</v>
      </c>
      <c r="I1333" s="123">
        <f t="shared" si="378"/>
        <v>0</v>
      </c>
      <c r="J1333" s="123">
        <v>0</v>
      </c>
      <c r="K1333" s="123">
        <f t="shared" si="379"/>
        <v>0</v>
      </c>
      <c r="M1333" s="124" t="s">
        <v>8</v>
      </c>
      <c r="N1333" s="123">
        <f t="shared" si="380"/>
        <v>0</v>
      </c>
      <c r="Y1333" s="123">
        <f t="shared" si="381"/>
        <v>0</v>
      </c>
      <c r="Z1333" s="123">
        <f t="shared" si="382"/>
        <v>0</v>
      </c>
      <c r="AA1333" s="123">
        <f t="shared" si="383"/>
        <v>0</v>
      </c>
      <c r="AC1333" s="125">
        <v>20</v>
      </c>
      <c r="AD1333" s="125">
        <f t="shared" si="384"/>
        <v>0</v>
      </c>
      <c r="AE1333" s="125">
        <f t="shared" si="385"/>
        <v>0</v>
      </c>
    </row>
    <row r="1334" spans="1:31" s="90" customFormat="1" ht="11.25">
      <c r="A1334" s="122" t="s">
        <v>1040</v>
      </c>
      <c r="B1334" s="122" t="s">
        <v>2096</v>
      </c>
      <c r="C1334" s="122" t="s">
        <v>3384</v>
      </c>
      <c r="D1334" s="122" t="s">
        <v>3455</v>
      </c>
      <c r="E1334" s="123">
        <v>30</v>
      </c>
      <c r="F1334" s="123">
        <v>0</v>
      </c>
      <c r="G1334" s="123">
        <f t="shared" si="376"/>
        <v>0</v>
      </c>
      <c r="H1334" s="123">
        <f t="shared" si="377"/>
        <v>0</v>
      </c>
      <c r="I1334" s="123">
        <f t="shared" si="378"/>
        <v>0</v>
      </c>
      <c r="J1334" s="123">
        <v>0</v>
      </c>
      <c r="K1334" s="123">
        <f t="shared" si="379"/>
        <v>0</v>
      </c>
      <c r="M1334" s="124" t="s">
        <v>8</v>
      </c>
      <c r="N1334" s="123">
        <f t="shared" si="380"/>
        <v>0</v>
      </c>
      <c r="Y1334" s="123">
        <f t="shared" si="381"/>
        <v>0</v>
      </c>
      <c r="Z1334" s="123">
        <f t="shared" si="382"/>
        <v>0</v>
      </c>
      <c r="AA1334" s="123">
        <f t="shared" si="383"/>
        <v>0</v>
      </c>
      <c r="AC1334" s="125">
        <v>20</v>
      </c>
      <c r="AD1334" s="125">
        <f t="shared" si="384"/>
        <v>0</v>
      </c>
      <c r="AE1334" s="125">
        <f t="shared" si="385"/>
        <v>0</v>
      </c>
    </row>
    <row r="1335" spans="1:31" s="90" customFormat="1" ht="11.25">
      <c r="A1335" s="122" t="s">
        <v>1041</v>
      </c>
      <c r="B1335" s="122" t="s">
        <v>2097</v>
      </c>
      <c r="C1335" s="122" t="s">
        <v>3385</v>
      </c>
      <c r="D1335" s="122" t="s">
        <v>3455</v>
      </c>
      <c r="E1335" s="123">
        <v>4</v>
      </c>
      <c r="F1335" s="123">
        <v>0</v>
      </c>
      <c r="G1335" s="123">
        <f aca="true" t="shared" si="386" ref="G1335:G1353">ROUND(E1335*AD1335,2)</f>
        <v>0</v>
      </c>
      <c r="H1335" s="123">
        <f aca="true" t="shared" si="387" ref="H1335:H1366">I1335-G1335</f>
        <v>0</v>
      </c>
      <c r="I1335" s="123">
        <f aca="true" t="shared" si="388" ref="I1335:I1353">ROUND(E1335*F1335,2)</f>
        <v>0</v>
      </c>
      <c r="J1335" s="123">
        <v>0</v>
      </c>
      <c r="K1335" s="123">
        <f aca="true" t="shared" si="389" ref="K1335:K1366">E1335*J1335</f>
        <v>0</v>
      </c>
      <c r="M1335" s="124" t="s">
        <v>8</v>
      </c>
      <c r="N1335" s="123">
        <f aca="true" t="shared" si="390" ref="N1335:N1366">IF(M1335="5",H1335,0)</f>
        <v>0</v>
      </c>
      <c r="Y1335" s="123">
        <f aca="true" t="shared" si="391" ref="Y1335:Y1353">IF(AC1335=0,I1335,0)</f>
        <v>0</v>
      </c>
      <c r="Z1335" s="123">
        <f aca="true" t="shared" si="392" ref="Z1335:Z1353">IF(AC1335=14,I1335,0)</f>
        <v>0</v>
      </c>
      <c r="AA1335" s="123">
        <f aca="true" t="shared" si="393" ref="AA1335:AA1353">IF(AC1335=20,I1335,0)</f>
        <v>0</v>
      </c>
      <c r="AC1335" s="125">
        <v>20</v>
      </c>
      <c r="AD1335" s="125">
        <f aca="true" t="shared" si="394" ref="AD1335:AD1353">F1335*0</f>
        <v>0</v>
      </c>
      <c r="AE1335" s="125">
        <f aca="true" t="shared" si="395" ref="AE1335:AE1353">F1335*(1-0)</f>
        <v>0</v>
      </c>
    </row>
    <row r="1336" spans="1:31" s="90" customFormat="1" ht="11.25">
      <c r="A1336" s="122" t="s">
        <v>1042</v>
      </c>
      <c r="B1336" s="122" t="s">
        <v>2098</v>
      </c>
      <c r="C1336" s="122" t="s">
        <v>3386</v>
      </c>
      <c r="D1336" s="122" t="s">
        <v>3455</v>
      </c>
      <c r="E1336" s="123">
        <v>1</v>
      </c>
      <c r="F1336" s="123">
        <v>0</v>
      </c>
      <c r="G1336" s="123">
        <f t="shared" si="386"/>
        <v>0</v>
      </c>
      <c r="H1336" s="123">
        <f t="shared" si="387"/>
        <v>0</v>
      </c>
      <c r="I1336" s="123">
        <f t="shared" si="388"/>
        <v>0</v>
      </c>
      <c r="J1336" s="123">
        <v>0</v>
      </c>
      <c r="K1336" s="123">
        <f t="shared" si="389"/>
        <v>0</v>
      </c>
      <c r="M1336" s="124" t="s">
        <v>8</v>
      </c>
      <c r="N1336" s="123">
        <f t="shared" si="390"/>
        <v>0</v>
      </c>
      <c r="Y1336" s="123">
        <f t="shared" si="391"/>
        <v>0</v>
      </c>
      <c r="Z1336" s="123">
        <f t="shared" si="392"/>
        <v>0</v>
      </c>
      <c r="AA1336" s="123">
        <f t="shared" si="393"/>
        <v>0</v>
      </c>
      <c r="AC1336" s="125">
        <v>20</v>
      </c>
      <c r="AD1336" s="125">
        <f t="shared" si="394"/>
        <v>0</v>
      </c>
      <c r="AE1336" s="125">
        <f t="shared" si="395"/>
        <v>0</v>
      </c>
    </row>
    <row r="1337" spans="1:31" s="90" customFormat="1" ht="11.25">
      <c r="A1337" s="122" t="s">
        <v>1043</v>
      </c>
      <c r="B1337" s="122" t="s">
        <v>2099</v>
      </c>
      <c r="C1337" s="122" t="s">
        <v>3387</v>
      </c>
      <c r="D1337" s="122" t="s">
        <v>3455</v>
      </c>
      <c r="E1337" s="123">
        <v>70</v>
      </c>
      <c r="F1337" s="123">
        <v>0</v>
      </c>
      <c r="G1337" s="123">
        <f t="shared" si="386"/>
        <v>0</v>
      </c>
      <c r="H1337" s="123">
        <f t="shared" si="387"/>
        <v>0</v>
      </c>
      <c r="I1337" s="123">
        <f t="shared" si="388"/>
        <v>0</v>
      </c>
      <c r="J1337" s="123">
        <v>0</v>
      </c>
      <c r="K1337" s="123">
        <f t="shared" si="389"/>
        <v>0</v>
      </c>
      <c r="M1337" s="124" t="s">
        <v>8</v>
      </c>
      <c r="N1337" s="123">
        <f t="shared" si="390"/>
        <v>0</v>
      </c>
      <c r="Y1337" s="123">
        <f t="shared" si="391"/>
        <v>0</v>
      </c>
      <c r="Z1337" s="123">
        <f t="shared" si="392"/>
        <v>0</v>
      </c>
      <c r="AA1337" s="123">
        <f t="shared" si="393"/>
        <v>0</v>
      </c>
      <c r="AC1337" s="125">
        <v>20</v>
      </c>
      <c r="AD1337" s="125">
        <f t="shared" si="394"/>
        <v>0</v>
      </c>
      <c r="AE1337" s="125">
        <f t="shared" si="395"/>
        <v>0</v>
      </c>
    </row>
    <row r="1338" spans="1:31" s="90" customFormat="1" ht="11.25">
      <c r="A1338" s="122" t="s">
        <v>1044</v>
      </c>
      <c r="B1338" s="122" t="s">
        <v>2100</v>
      </c>
      <c r="C1338" s="122" t="s">
        <v>3388</v>
      </c>
      <c r="D1338" s="122" t="s">
        <v>3455</v>
      </c>
      <c r="E1338" s="123">
        <v>35</v>
      </c>
      <c r="F1338" s="123">
        <v>0</v>
      </c>
      <c r="G1338" s="123">
        <f t="shared" si="386"/>
        <v>0</v>
      </c>
      <c r="H1338" s="123">
        <f t="shared" si="387"/>
        <v>0</v>
      </c>
      <c r="I1338" s="123">
        <f t="shared" si="388"/>
        <v>0</v>
      </c>
      <c r="J1338" s="123">
        <v>0</v>
      </c>
      <c r="K1338" s="123">
        <f t="shared" si="389"/>
        <v>0</v>
      </c>
      <c r="M1338" s="124" t="s">
        <v>8</v>
      </c>
      <c r="N1338" s="123">
        <f t="shared" si="390"/>
        <v>0</v>
      </c>
      <c r="Y1338" s="123">
        <f t="shared" si="391"/>
        <v>0</v>
      </c>
      <c r="Z1338" s="123">
        <f t="shared" si="392"/>
        <v>0</v>
      </c>
      <c r="AA1338" s="123">
        <f t="shared" si="393"/>
        <v>0</v>
      </c>
      <c r="AC1338" s="125">
        <v>20</v>
      </c>
      <c r="AD1338" s="125">
        <f t="shared" si="394"/>
        <v>0</v>
      </c>
      <c r="AE1338" s="125">
        <f t="shared" si="395"/>
        <v>0</v>
      </c>
    </row>
    <row r="1339" spans="1:31" s="90" customFormat="1" ht="11.25">
      <c r="A1339" s="122" t="s">
        <v>1045</v>
      </c>
      <c r="B1339" s="122" t="s">
        <v>2101</v>
      </c>
      <c r="C1339" s="122" t="s">
        <v>3389</v>
      </c>
      <c r="D1339" s="122" t="s">
        <v>3455</v>
      </c>
      <c r="E1339" s="123">
        <v>1</v>
      </c>
      <c r="F1339" s="123">
        <v>0</v>
      </c>
      <c r="G1339" s="123">
        <f t="shared" si="386"/>
        <v>0</v>
      </c>
      <c r="H1339" s="123">
        <f t="shared" si="387"/>
        <v>0</v>
      </c>
      <c r="I1339" s="123">
        <f t="shared" si="388"/>
        <v>0</v>
      </c>
      <c r="J1339" s="123">
        <v>0</v>
      </c>
      <c r="K1339" s="123">
        <f t="shared" si="389"/>
        <v>0</v>
      </c>
      <c r="M1339" s="124" t="s">
        <v>8</v>
      </c>
      <c r="N1339" s="123">
        <f t="shared" si="390"/>
        <v>0</v>
      </c>
      <c r="Y1339" s="123">
        <f t="shared" si="391"/>
        <v>0</v>
      </c>
      <c r="Z1339" s="123">
        <f t="shared" si="392"/>
        <v>0</v>
      </c>
      <c r="AA1339" s="123">
        <f t="shared" si="393"/>
        <v>0</v>
      </c>
      <c r="AC1339" s="125">
        <v>20</v>
      </c>
      <c r="AD1339" s="125">
        <f t="shared" si="394"/>
        <v>0</v>
      </c>
      <c r="AE1339" s="125">
        <f t="shared" si="395"/>
        <v>0</v>
      </c>
    </row>
    <row r="1340" spans="1:31" s="90" customFormat="1" ht="11.25">
      <c r="A1340" s="122" t="s">
        <v>1046</v>
      </c>
      <c r="B1340" s="122" t="s">
        <v>2102</v>
      </c>
      <c r="C1340" s="122" t="s">
        <v>3390</v>
      </c>
      <c r="D1340" s="122" t="s">
        <v>3455</v>
      </c>
      <c r="E1340" s="123">
        <v>2</v>
      </c>
      <c r="F1340" s="123">
        <v>0</v>
      </c>
      <c r="G1340" s="123">
        <f t="shared" si="386"/>
        <v>0</v>
      </c>
      <c r="H1340" s="123">
        <f t="shared" si="387"/>
        <v>0</v>
      </c>
      <c r="I1340" s="123">
        <f t="shared" si="388"/>
        <v>0</v>
      </c>
      <c r="J1340" s="123">
        <v>0</v>
      </c>
      <c r="K1340" s="123">
        <f t="shared" si="389"/>
        <v>0</v>
      </c>
      <c r="M1340" s="124" t="s">
        <v>8</v>
      </c>
      <c r="N1340" s="123">
        <f t="shared" si="390"/>
        <v>0</v>
      </c>
      <c r="Y1340" s="123">
        <f t="shared" si="391"/>
        <v>0</v>
      </c>
      <c r="Z1340" s="123">
        <f t="shared" si="392"/>
        <v>0</v>
      </c>
      <c r="AA1340" s="123">
        <f t="shared" si="393"/>
        <v>0</v>
      </c>
      <c r="AC1340" s="125">
        <v>20</v>
      </c>
      <c r="AD1340" s="125">
        <f t="shared" si="394"/>
        <v>0</v>
      </c>
      <c r="AE1340" s="125">
        <f t="shared" si="395"/>
        <v>0</v>
      </c>
    </row>
    <row r="1341" spans="1:31" s="90" customFormat="1" ht="11.25">
      <c r="A1341" s="122" t="s">
        <v>1047</v>
      </c>
      <c r="B1341" s="122" t="s">
        <v>2103</v>
      </c>
      <c r="C1341" s="122" t="s">
        <v>3391</v>
      </c>
      <c r="D1341" s="122" t="s">
        <v>3455</v>
      </c>
      <c r="E1341" s="123">
        <v>1</v>
      </c>
      <c r="F1341" s="123">
        <v>0</v>
      </c>
      <c r="G1341" s="123">
        <f t="shared" si="386"/>
        <v>0</v>
      </c>
      <c r="H1341" s="123">
        <f t="shared" si="387"/>
        <v>0</v>
      </c>
      <c r="I1341" s="123">
        <f t="shared" si="388"/>
        <v>0</v>
      </c>
      <c r="J1341" s="123">
        <v>0</v>
      </c>
      <c r="K1341" s="123">
        <f t="shared" si="389"/>
        <v>0</v>
      </c>
      <c r="M1341" s="124" t="s">
        <v>8</v>
      </c>
      <c r="N1341" s="123">
        <f t="shared" si="390"/>
        <v>0</v>
      </c>
      <c r="Y1341" s="123">
        <f t="shared" si="391"/>
        <v>0</v>
      </c>
      <c r="Z1341" s="123">
        <f t="shared" si="392"/>
        <v>0</v>
      </c>
      <c r="AA1341" s="123">
        <f t="shared" si="393"/>
        <v>0</v>
      </c>
      <c r="AC1341" s="125">
        <v>20</v>
      </c>
      <c r="AD1341" s="125">
        <f t="shared" si="394"/>
        <v>0</v>
      </c>
      <c r="AE1341" s="125">
        <f t="shared" si="395"/>
        <v>0</v>
      </c>
    </row>
    <row r="1342" spans="1:31" s="90" customFormat="1" ht="11.25">
      <c r="A1342" s="122" t="s">
        <v>1048</v>
      </c>
      <c r="B1342" s="122" t="s">
        <v>2104</v>
      </c>
      <c r="C1342" s="122" t="s">
        <v>3392</v>
      </c>
      <c r="D1342" s="122" t="s">
        <v>3455</v>
      </c>
      <c r="E1342" s="123">
        <v>40</v>
      </c>
      <c r="F1342" s="123">
        <v>0</v>
      </c>
      <c r="G1342" s="123">
        <f t="shared" si="386"/>
        <v>0</v>
      </c>
      <c r="H1342" s="123">
        <f t="shared" si="387"/>
        <v>0</v>
      </c>
      <c r="I1342" s="123">
        <f t="shared" si="388"/>
        <v>0</v>
      </c>
      <c r="J1342" s="123">
        <v>0</v>
      </c>
      <c r="K1342" s="123">
        <f t="shared" si="389"/>
        <v>0</v>
      </c>
      <c r="M1342" s="124" t="s">
        <v>8</v>
      </c>
      <c r="N1342" s="123">
        <f t="shared" si="390"/>
        <v>0</v>
      </c>
      <c r="Y1342" s="123">
        <f t="shared" si="391"/>
        <v>0</v>
      </c>
      <c r="Z1342" s="123">
        <f t="shared" si="392"/>
        <v>0</v>
      </c>
      <c r="AA1342" s="123">
        <f t="shared" si="393"/>
        <v>0</v>
      </c>
      <c r="AC1342" s="125">
        <v>20</v>
      </c>
      <c r="AD1342" s="125">
        <f t="shared" si="394"/>
        <v>0</v>
      </c>
      <c r="AE1342" s="125">
        <f t="shared" si="395"/>
        <v>0</v>
      </c>
    </row>
    <row r="1343" spans="1:31" s="90" customFormat="1" ht="11.25">
      <c r="A1343" s="122" t="s">
        <v>1049</v>
      </c>
      <c r="B1343" s="122" t="s">
        <v>2105</v>
      </c>
      <c r="C1343" s="122" t="s">
        <v>3393</v>
      </c>
      <c r="D1343" s="122" t="s">
        <v>3455</v>
      </c>
      <c r="E1343" s="123">
        <v>5</v>
      </c>
      <c r="F1343" s="123">
        <v>0</v>
      </c>
      <c r="G1343" s="123">
        <f t="shared" si="386"/>
        <v>0</v>
      </c>
      <c r="H1343" s="123">
        <f t="shared" si="387"/>
        <v>0</v>
      </c>
      <c r="I1343" s="123">
        <f t="shared" si="388"/>
        <v>0</v>
      </c>
      <c r="J1343" s="123">
        <v>0</v>
      </c>
      <c r="K1343" s="123">
        <f t="shared" si="389"/>
        <v>0</v>
      </c>
      <c r="M1343" s="124" t="s">
        <v>8</v>
      </c>
      <c r="N1343" s="123">
        <f t="shared" si="390"/>
        <v>0</v>
      </c>
      <c r="Y1343" s="123">
        <f t="shared" si="391"/>
        <v>0</v>
      </c>
      <c r="Z1343" s="123">
        <f t="shared" si="392"/>
        <v>0</v>
      </c>
      <c r="AA1343" s="123">
        <f t="shared" si="393"/>
        <v>0</v>
      </c>
      <c r="AC1343" s="125">
        <v>20</v>
      </c>
      <c r="AD1343" s="125">
        <f t="shared" si="394"/>
        <v>0</v>
      </c>
      <c r="AE1343" s="125">
        <f t="shared" si="395"/>
        <v>0</v>
      </c>
    </row>
    <row r="1344" spans="1:31" s="90" customFormat="1" ht="11.25">
      <c r="A1344" s="122" t="s">
        <v>1050</v>
      </c>
      <c r="B1344" s="122" t="s">
        <v>2106</v>
      </c>
      <c r="C1344" s="122" t="s">
        <v>3394</v>
      </c>
      <c r="D1344" s="122" t="s">
        <v>3455</v>
      </c>
      <c r="E1344" s="123">
        <v>10</v>
      </c>
      <c r="F1344" s="123">
        <v>0</v>
      </c>
      <c r="G1344" s="123">
        <f t="shared" si="386"/>
        <v>0</v>
      </c>
      <c r="H1344" s="123">
        <f t="shared" si="387"/>
        <v>0</v>
      </c>
      <c r="I1344" s="123">
        <f t="shared" si="388"/>
        <v>0</v>
      </c>
      <c r="J1344" s="123">
        <v>0</v>
      </c>
      <c r="K1344" s="123">
        <f t="shared" si="389"/>
        <v>0</v>
      </c>
      <c r="M1344" s="124" t="s">
        <v>8</v>
      </c>
      <c r="N1344" s="123">
        <f t="shared" si="390"/>
        <v>0</v>
      </c>
      <c r="Y1344" s="123">
        <f t="shared" si="391"/>
        <v>0</v>
      </c>
      <c r="Z1344" s="123">
        <f t="shared" si="392"/>
        <v>0</v>
      </c>
      <c r="AA1344" s="123">
        <f t="shared" si="393"/>
        <v>0</v>
      </c>
      <c r="AC1344" s="125">
        <v>20</v>
      </c>
      <c r="AD1344" s="125">
        <f t="shared" si="394"/>
        <v>0</v>
      </c>
      <c r="AE1344" s="125">
        <f t="shared" si="395"/>
        <v>0</v>
      </c>
    </row>
    <row r="1345" spans="1:31" s="90" customFormat="1" ht="11.25">
      <c r="A1345" s="122" t="s">
        <v>1051</v>
      </c>
      <c r="B1345" s="122" t="s">
        <v>2107</v>
      </c>
      <c r="C1345" s="122" t="s">
        <v>3395</v>
      </c>
      <c r="D1345" s="122" t="s">
        <v>3455</v>
      </c>
      <c r="E1345" s="123">
        <v>15</v>
      </c>
      <c r="F1345" s="123">
        <v>0</v>
      </c>
      <c r="G1345" s="123">
        <f t="shared" si="386"/>
        <v>0</v>
      </c>
      <c r="H1345" s="123">
        <f t="shared" si="387"/>
        <v>0</v>
      </c>
      <c r="I1345" s="123">
        <f t="shared" si="388"/>
        <v>0</v>
      </c>
      <c r="J1345" s="123">
        <v>0</v>
      </c>
      <c r="K1345" s="123">
        <f t="shared" si="389"/>
        <v>0</v>
      </c>
      <c r="M1345" s="124" t="s">
        <v>8</v>
      </c>
      <c r="N1345" s="123">
        <f t="shared" si="390"/>
        <v>0</v>
      </c>
      <c r="Y1345" s="123">
        <f t="shared" si="391"/>
        <v>0</v>
      </c>
      <c r="Z1345" s="123">
        <f t="shared" si="392"/>
        <v>0</v>
      </c>
      <c r="AA1345" s="123">
        <f t="shared" si="393"/>
        <v>0</v>
      </c>
      <c r="AC1345" s="125">
        <v>20</v>
      </c>
      <c r="AD1345" s="125">
        <f t="shared" si="394"/>
        <v>0</v>
      </c>
      <c r="AE1345" s="125">
        <f t="shared" si="395"/>
        <v>0</v>
      </c>
    </row>
    <row r="1346" spans="1:31" s="90" customFormat="1" ht="11.25">
      <c r="A1346" s="122" t="s">
        <v>1052</v>
      </c>
      <c r="B1346" s="122" t="s">
        <v>2108</v>
      </c>
      <c r="C1346" s="122" t="s">
        <v>3396</v>
      </c>
      <c r="D1346" s="122" t="s">
        <v>3456</v>
      </c>
      <c r="E1346" s="123">
        <v>8</v>
      </c>
      <c r="F1346" s="123">
        <v>0</v>
      </c>
      <c r="G1346" s="123">
        <f t="shared" si="386"/>
        <v>0</v>
      </c>
      <c r="H1346" s="123">
        <f t="shared" si="387"/>
        <v>0</v>
      </c>
      <c r="I1346" s="123">
        <f t="shared" si="388"/>
        <v>0</v>
      </c>
      <c r="J1346" s="123">
        <v>0</v>
      </c>
      <c r="K1346" s="123">
        <f t="shared" si="389"/>
        <v>0</v>
      </c>
      <c r="M1346" s="124" t="s">
        <v>8</v>
      </c>
      <c r="N1346" s="123">
        <f t="shared" si="390"/>
        <v>0</v>
      </c>
      <c r="Y1346" s="123">
        <f t="shared" si="391"/>
        <v>0</v>
      </c>
      <c r="Z1346" s="123">
        <f t="shared" si="392"/>
        <v>0</v>
      </c>
      <c r="AA1346" s="123">
        <f t="shared" si="393"/>
        <v>0</v>
      </c>
      <c r="AC1346" s="125">
        <v>20</v>
      </c>
      <c r="AD1346" s="125">
        <f t="shared" si="394"/>
        <v>0</v>
      </c>
      <c r="AE1346" s="125">
        <f t="shared" si="395"/>
        <v>0</v>
      </c>
    </row>
    <row r="1347" spans="1:31" s="90" customFormat="1" ht="11.25">
      <c r="A1347" s="122" t="s">
        <v>1053</v>
      </c>
      <c r="B1347" s="122" t="s">
        <v>2109</v>
      </c>
      <c r="C1347" s="122" t="s">
        <v>3397</v>
      </c>
      <c r="D1347" s="122" t="s">
        <v>3456</v>
      </c>
      <c r="E1347" s="123">
        <v>2</v>
      </c>
      <c r="F1347" s="123">
        <v>0</v>
      </c>
      <c r="G1347" s="123">
        <f t="shared" si="386"/>
        <v>0</v>
      </c>
      <c r="H1347" s="123">
        <f t="shared" si="387"/>
        <v>0</v>
      </c>
      <c r="I1347" s="123">
        <f t="shared" si="388"/>
        <v>0</v>
      </c>
      <c r="J1347" s="123">
        <v>0</v>
      </c>
      <c r="K1347" s="123">
        <f t="shared" si="389"/>
        <v>0</v>
      </c>
      <c r="M1347" s="124" t="s">
        <v>8</v>
      </c>
      <c r="N1347" s="123">
        <f t="shared" si="390"/>
        <v>0</v>
      </c>
      <c r="Y1347" s="123">
        <f t="shared" si="391"/>
        <v>0</v>
      </c>
      <c r="Z1347" s="123">
        <f t="shared" si="392"/>
        <v>0</v>
      </c>
      <c r="AA1347" s="123">
        <f t="shared" si="393"/>
        <v>0</v>
      </c>
      <c r="AC1347" s="125">
        <v>20</v>
      </c>
      <c r="AD1347" s="125">
        <f t="shared" si="394"/>
        <v>0</v>
      </c>
      <c r="AE1347" s="125">
        <f t="shared" si="395"/>
        <v>0</v>
      </c>
    </row>
    <row r="1348" spans="1:31" s="90" customFormat="1" ht="11.25">
      <c r="A1348" s="122" t="s">
        <v>1054</v>
      </c>
      <c r="B1348" s="122" t="s">
        <v>2110</v>
      </c>
      <c r="C1348" s="122" t="s">
        <v>3398</v>
      </c>
      <c r="D1348" s="122" t="s">
        <v>3456</v>
      </c>
      <c r="E1348" s="123">
        <v>2</v>
      </c>
      <c r="F1348" s="123">
        <v>0</v>
      </c>
      <c r="G1348" s="123">
        <f t="shared" si="386"/>
        <v>0</v>
      </c>
      <c r="H1348" s="123">
        <f t="shared" si="387"/>
        <v>0</v>
      </c>
      <c r="I1348" s="123">
        <f t="shared" si="388"/>
        <v>0</v>
      </c>
      <c r="J1348" s="123">
        <v>0</v>
      </c>
      <c r="K1348" s="123">
        <f t="shared" si="389"/>
        <v>0</v>
      </c>
      <c r="M1348" s="124" t="s">
        <v>8</v>
      </c>
      <c r="N1348" s="123">
        <f t="shared" si="390"/>
        <v>0</v>
      </c>
      <c r="Y1348" s="123">
        <f t="shared" si="391"/>
        <v>0</v>
      </c>
      <c r="Z1348" s="123">
        <f t="shared" si="392"/>
        <v>0</v>
      </c>
      <c r="AA1348" s="123">
        <f t="shared" si="393"/>
        <v>0</v>
      </c>
      <c r="AC1348" s="125">
        <v>20</v>
      </c>
      <c r="AD1348" s="125">
        <f t="shared" si="394"/>
        <v>0</v>
      </c>
      <c r="AE1348" s="125">
        <f t="shared" si="395"/>
        <v>0</v>
      </c>
    </row>
    <row r="1349" spans="1:31" s="90" customFormat="1" ht="11.25">
      <c r="A1349" s="122" t="s">
        <v>1055</v>
      </c>
      <c r="B1349" s="122" t="s">
        <v>2111</v>
      </c>
      <c r="C1349" s="122" t="s">
        <v>3399</v>
      </c>
      <c r="D1349" s="122" t="s">
        <v>3456</v>
      </c>
      <c r="E1349" s="123">
        <v>7</v>
      </c>
      <c r="F1349" s="123">
        <v>0</v>
      </c>
      <c r="G1349" s="123">
        <f t="shared" si="386"/>
        <v>0</v>
      </c>
      <c r="H1349" s="123">
        <f t="shared" si="387"/>
        <v>0</v>
      </c>
      <c r="I1349" s="123">
        <f t="shared" si="388"/>
        <v>0</v>
      </c>
      <c r="J1349" s="123">
        <v>0</v>
      </c>
      <c r="K1349" s="123">
        <f t="shared" si="389"/>
        <v>0</v>
      </c>
      <c r="M1349" s="124" t="s">
        <v>8</v>
      </c>
      <c r="N1349" s="123">
        <f t="shared" si="390"/>
        <v>0</v>
      </c>
      <c r="Y1349" s="123">
        <f t="shared" si="391"/>
        <v>0</v>
      </c>
      <c r="Z1349" s="123">
        <f t="shared" si="392"/>
        <v>0</v>
      </c>
      <c r="AA1349" s="123">
        <f t="shared" si="393"/>
        <v>0</v>
      </c>
      <c r="AC1349" s="125">
        <v>20</v>
      </c>
      <c r="AD1349" s="125">
        <f t="shared" si="394"/>
        <v>0</v>
      </c>
      <c r="AE1349" s="125">
        <f t="shared" si="395"/>
        <v>0</v>
      </c>
    </row>
    <row r="1350" spans="1:31" s="90" customFormat="1" ht="11.25">
      <c r="A1350" s="122" t="s">
        <v>1056</v>
      </c>
      <c r="B1350" s="122" t="s">
        <v>2112</v>
      </c>
      <c r="C1350" s="122" t="s">
        <v>3400</v>
      </c>
      <c r="D1350" s="122" t="s">
        <v>3456</v>
      </c>
      <c r="E1350" s="123">
        <v>2</v>
      </c>
      <c r="F1350" s="123">
        <v>0</v>
      </c>
      <c r="G1350" s="123">
        <f t="shared" si="386"/>
        <v>0</v>
      </c>
      <c r="H1350" s="123">
        <f t="shared" si="387"/>
        <v>0</v>
      </c>
      <c r="I1350" s="123">
        <f t="shared" si="388"/>
        <v>0</v>
      </c>
      <c r="J1350" s="123">
        <v>0</v>
      </c>
      <c r="K1350" s="123">
        <f t="shared" si="389"/>
        <v>0</v>
      </c>
      <c r="M1350" s="124" t="s">
        <v>8</v>
      </c>
      <c r="N1350" s="123">
        <f t="shared" si="390"/>
        <v>0</v>
      </c>
      <c r="Y1350" s="123">
        <f t="shared" si="391"/>
        <v>0</v>
      </c>
      <c r="Z1350" s="123">
        <f t="shared" si="392"/>
        <v>0</v>
      </c>
      <c r="AA1350" s="123">
        <f t="shared" si="393"/>
        <v>0</v>
      </c>
      <c r="AC1350" s="125">
        <v>20</v>
      </c>
      <c r="AD1350" s="125">
        <f t="shared" si="394"/>
        <v>0</v>
      </c>
      <c r="AE1350" s="125">
        <f t="shared" si="395"/>
        <v>0</v>
      </c>
    </row>
    <row r="1351" spans="1:31" s="90" customFormat="1" ht="11.25">
      <c r="A1351" s="122" t="s">
        <v>1057</v>
      </c>
      <c r="B1351" s="122" t="s">
        <v>2113</v>
      </c>
      <c r="C1351" s="122" t="s">
        <v>3401</v>
      </c>
      <c r="D1351" s="122" t="s">
        <v>3456</v>
      </c>
      <c r="E1351" s="123">
        <v>2</v>
      </c>
      <c r="F1351" s="123">
        <v>0</v>
      </c>
      <c r="G1351" s="123">
        <f t="shared" si="386"/>
        <v>0</v>
      </c>
      <c r="H1351" s="123">
        <f t="shared" si="387"/>
        <v>0</v>
      </c>
      <c r="I1351" s="123">
        <f t="shared" si="388"/>
        <v>0</v>
      </c>
      <c r="J1351" s="123">
        <v>0</v>
      </c>
      <c r="K1351" s="123">
        <f t="shared" si="389"/>
        <v>0</v>
      </c>
      <c r="M1351" s="124" t="s">
        <v>8</v>
      </c>
      <c r="N1351" s="123">
        <f t="shared" si="390"/>
        <v>0</v>
      </c>
      <c r="Y1351" s="123">
        <f t="shared" si="391"/>
        <v>0</v>
      </c>
      <c r="Z1351" s="123">
        <f t="shared" si="392"/>
        <v>0</v>
      </c>
      <c r="AA1351" s="123">
        <f t="shared" si="393"/>
        <v>0</v>
      </c>
      <c r="AC1351" s="125">
        <v>20</v>
      </c>
      <c r="AD1351" s="125">
        <f t="shared" si="394"/>
        <v>0</v>
      </c>
      <c r="AE1351" s="125">
        <f t="shared" si="395"/>
        <v>0</v>
      </c>
    </row>
    <row r="1352" spans="1:31" s="90" customFormat="1" ht="11.25">
      <c r="A1352" s="122" t="s">
        <v>1058</v>
      </c>
      <c r="B1352" s="122" t="s">
        <v>2114</v>
      </c>
      <c r="C1352" s="122" t="s">
        <v>3402</v>
      </c>
      <c r="D1352" s="122" t="s">
        <v>3456</v>
      </c>
      <c r="E1352" s="123">
        <v>2</v>
      </c>
      <c r="F1352" s="123">
        <v>0</v>
      </c>
      <c r="G1352" s="123">
        <f t="shared" si="386"/>
        <v>0</v>
      </c>
      <c r="H1352" s="123">
        <f t="shared" si="387"/>
        <v>0</v>
      </c>
      <c r="I1352" s="123">
        <f t="shared" si="388"/>
        <v>0</v>
      </c>
      <c r="J1352" s="123">
        <v>0</v>
      </c>
      <c r="K1352" s="123">
        <f t="shared" si="389"/>
        <v>0</v>
      </c>
      <c r="M1352" s="124" t="s">
        <v>8</v>
      </c>
      <c r="N1352" s="123">
        <f t="shared" si="390"/>
        <v>0</v>
      </c>
      <c r="Y1352" s="123">
        <f t="shared" si="391"/>
        <v>0</v>
      </c>
      <c r="Z1352" s="123">
        <f t="shared" si="392"/>
        <v>0</v>
      </c>
      <c r="AA1352" s="123">
        <f t="shared" si="393"/>
        <v>0</v>
      </c>
      <c r="AC1352" s="125">
        <v>20</v>
      </c>
      <c r="AD1352" s="125">
        <f t="shared" si="394"/>
        <v>0</v>
      </c>
      <c r="AE1352" s="125">
        <f t="shared" si="395"/>
        <v>0</v>
      </c>
    </row>
    <row r="1353" spans="1:31" s="90" customFormat="1" ht="11.25">
      <c r="A1353" s="122" t="s">
        <v>1059</v>
      </c>
      <c r="B1353" s="122" t="s">
        <v>2115</v>
      </c>
      <c r="C1353" s="122" t="s">
        <v>3403</v>
      </c>
      <c r="D1353" s="122" t="s">
        <v>3456</v>
      </c>
      <c r="E1353" s="123">
        <v>1</v>
      </c>
      <c r="F1353" s="123">
        <v>0</v>
      </c>
      <c r="G1353" s="123">
        <f t="shared" si="386"/>
        <v>0</v>
      </c>
      <c r="H1353" s="123">
        <f t="shared" si="387"/>
        <v>0</v>
      </c>
      <c r="I1353" s="123">
        <f t="shared" si="388"/>
        <v>0</v>
      </c>
      <c r="J1353" s="123">
        <v>0</v>
      </c>
      <c r="K1353" s="123">
        <f t="shared" si="389"/>
        <v>0</v>
      </c>
      <c r="M1353" s="124" t="s">
        <v>8</v>
      </c>
      <c r="N1353" s="123">
        <f t="shared" si="390"/>
        <v>0</v>
      </c>
      <c r="Y1353" s="123">
        <f t="shared" si="391"/>
        <v>0</v>
      </c>
      <c r="Z1353" s="123">
        <f t="shared" si="392"/>
        <v>0</v>
      </c>
      <c r="AA1353" s="123">
        <f t="shared" si="393"/>
        <v>0</v>
      </c>
      <c r="AC1353" s="125">
        <v>20</v>
      </c>
      <c r="AD1353" s="125">
        <f t="shared" si="394"/>
        <v>0</v>
      </c>
      <c r="AE1353" s="125">
        <f t="shared" si="395"/>
        <v>0</v>
      </c>
    </row>
    <row r="1354" s="90" customFormat="1" ht="11.25">
      <c r="C1354" s="126" t="s">
        <v>3404</v>
      </c>
    </row>
    <row r="1355" spans="1:31" s="90" customFormat="1" ht="11.25">
      <c r="A1355" s="122" t="s">
        <v>1060</v>
      </c>
      <c r="B1355" s="122" t="s">
        <v>2116</v>
      </c>
      <c r="C1355" s="122" t="s">
        <v>3405</v>
      </c>
      <c r="D1355" s="122" t="s">
        <v>3456</v>
      </c>
      <c r="E1355" s="123">
        <v>1</v>
      </c>
      <c r="F1355" s="123">
        <v>0</v>
      </c>
      <c r="G1355" s="123">
        <f>ROUND(E1355*AD1355,2)</f>
        <v>0</v>
      </c>
      <c r="H1355" s="123">
        <f>I1355-G1355</f>
        <v>0</v>
      </c>
      <c r="I1355" s="123">
        <f>ROUND(E1355*F1355,2)</f>
        <v>0</v>
      </c>
      <c r="J1355" s="123">
        <v>0</v>
      </c>
      <c r="K1355" s="123">
        <f>E1355*J1355</f>
        <v>0</v>
      </c>
      <c r="M1355" s="124" t="s">
        <v>8</v>
      </c>
      <c r="N1355" s="123">
        <f>IF(M1355="5",H1355,0)</f>
        <v>0</v>
      </c>
      <c r="Y1355" s="123">
        <f>IF(AC1355=0,I1355,0)</f>
        <v>0</v>
      </c>
      <c r="Z1355" s="123">
        <f>IF(AC1355=14,I1355,0)</f>
        <v>0</v>
      </c>
      <c r="AA1355" s="123">
        <f>IF(AC1355=20,I1355,0)</f>
        <v>0</v>
      </c>
      <c r="AC1355" s="125">
        <v>20</v>
      </c>
      <c r="AD1355" s="125">
        <f>F1355*0</f>
        <v>0</v>
      </c>
      <c r="AE1355" s="125">
        <f>F1355*(1-0)</f>
        <v>0</v>
      </c>
    </row>
    <row r="1356" s="90" customFormat="1" ht="11.25">
      <c r="C1356" s="126" t="s">
        <v>3406</v>
      </c>
    </row>
    <row r="1357" spans="1:31" s="90" customFormat="1" ht="11.25">
      <c r="A1357" s="122" t="s">
        <v>1061</v>
      </c>
      <c r="B1357" s="122" t="s">
        <v>2117</v>
      </c>
      <c r="C1357" s="122" t="s">
        <v>3407</v>
      </c>
      <c r="D1357" s="122" t="s">
        <v>3456</v>
      </c>
      <c r="E1357" s="123">
        <v>1</v>
      </c>
      <c r="F1357" s="123">
        <v>0</v>
      </c>
      <c r="G1357" s="123">
        <f>ROUND(E1357*AD1357,2)</f>
        <v>0</v>
      </c>
      <c r="H1357" s="123">
        <f>I1357-G1357</f>
        <v>0</v>
      </c>
      <c r="I1357" s="123">
        <f>ROUND(E1357*F1357,2)</f>
        <v>0</v>
      </c>
      <c r="J1357" s="123">
        <v>0</v>
      </c>
      <c r="K1357" s="123">
        <f>E1357*J1357</f>
        <v>0</v>
      </c>
      <c r="M1357" s="124" t="s">
        <v>8</v>
      </c>
      <c r="N1357" s="123">
        <f>IF(M1357="5",H1357,0)</f>
        <v>0</v>
      </c>
      <c r="Y1357" s="123">
        <f>IF(AC1357=0,I1357,0)</f>
        <v>0</v>
      </c>
      <c r="Z1357" s="123">
        <f>IF(AC1357=14,I1357,0)</f>
        <v>0</v>
      </c>
      <c r="AA1357" s="123">
        <f>IF(AC1357=20,I1357,0)</f>
        <v>0</v>
      </c>
      <c r="AC1357" s="125">
        <v>20</v>
      </c>
      <c r="AD1357" s="125">
        <f>F1357*0</f>
        <v>0</v>
      </c>
      <c r="AE1357" s="125">
        <f>F1357*(1-0)</f>
        <v>0</v>
      </c>
    </row>
    <row r="1358" s="90" customFormat="1" ht="11.25">
      <c r="C1358" s="126" t="s">
        <v>3408</v>
      </c>
    </row>
    <row r="1359" spans="1:31" s="90" customFormat="1" ht="11.25">
      <c r="A1359" s="122" t="s">
        <v>1062</v>
      </c>
      <c r="B1359" s="122" t="s">
        <v>2118</v>
      </c>
      <c r="C1359" s="122" t="s">
        <v>3409</v>
      </c>
      <c r="D1359" s="122" t="s">
        <v>3456</v>
      </c>
      <c r="E1359" s="123">
        <v>2</v>
      </c>
      <c r="F1359" s="123">
        <v>0</v>
      </c>
      <c r="G1359" s="123">
        <f>ROUND(E1359*AD1359,2)</f>
        <v>0</v>
      </c>
      <c r="H1359" s="123">
        <f>I1359-G1359</f>
        <v>0</v>
      </c>
      <c r="I1359" s="123">
        <f>ROUND(E1359*F1359,2)</f>
        <v>0</v>
      </c>
      <c r="J1359" s="123">
        <v>0</v>
      </c>
      <c r="K1359" s="123">
        <f>E1359*J1359</f>
        <v>0</v>
      </c>
      <c r="M1359" s="124" t="s">
        <v>8</v>
      </c>
      <c r="N1359" s="123">
        <f>IF(M1359="5",H1359,0)</f>
        <v>0</v>
      </c>
      <c r="Y1359" s="123">
        <f>IF(AC1359=0,I1359,0)</f>
        <v>0</v>
      </c>
      <c r="Z1359" s="123">
        <f>IF(AC1359=14,I1359,0)</f>
        <v>0</v>
      </c>
      <c r="AA1359" s="123">
        <f>IF(AC1359=20,I1359,0)</f>
        <v>0</v>
      </c>
      <c r="AC1359" s="125">
        <v>20</v>
      </c>
      <c r="AD1359" s="125">
        <f>F1359*0</f>
        <v>0</v>
      </c>
      <c r="AE1359" s="125">
        <f>F1359*(1-0)</f>
        <v>0</v>
      </c>
    </row>
    <row r="1360" s="90" customFormat="1" ht="11.25">
      <c r="C1360" s="126" t="s">
        <v>3410</v>
      </c>
    </row>
    <row r="1361" spans="1:31" s="90" customFormat="1" ht="11.25">
      <c r="A1361" s="122" t="s">
        <v>1063</v>
      </c>
      <c r="B1361" s="122" t="s">
        <v>2119</v>
      </c>
      <c r="C1361" s="122" t="s">
        <v>3411</v>
      </c>
      <c r="D1361" s="122" t="s">
        <v>3456</v>
      </c>
      <c r="E1361" s="123">
        <v>1</v>
      </c>
      <c r="F1361" s="123">
        <v>0</v>
      </c>
      <c r="G1361" s="123">
        <f>ROUND(E1361*AD1361,2)</f>
        <v>0</v>
      </c>
      <c r="H1361" s="123">
        <f>I1361-G1361</f>
        <v>0</v>
      </c>
      <c r="I1361" s="123">
        <f>ROUND(E1361*F1361,2)</f>
        <v>0</v>
      </c>
      <c r="J1361" s="123">
        <v>0</v>
      </c>
      <c r="K1361" s="123">
        <f>E1361*J1361</f>
        <v>0</v>
      </c>
      <c r="M1361" s="124" t="s">
        <v>8</v>
      </c>
      <c r="N1361" s="123">
        <f>IF(M1361="5",H1361,0)</f>
        <v>0</v>
      </c>
      <c r="Y1361" s="123">
        <f>IF(AC1361=0,I1361,0)</f>
        <v>0</v>
      </c>
      <c r="Z1361" s="123">
        <f>IF(AC1361=14,I1361,0)</f>
        <v>0</v>
      </c>
      <c r="AA1361" s="123">
        <f>IF(AC1361=20,I1361,0)</f>
        <v>0</v>
      </c>
      <c r="AC1361" s="125">
        <v>20</v>
      </c>
      <c r="AD1361" s="125">
        <f>F1361*0</f>
        <v>0</v>
      </c>
      <c r="AE1361" s="125">
        <f>F1361*(1-0)</f>
        <v>0</v>
      </c>
    </row>
    <row r="1362" s="90" customFormat="1" ht="11.25">
      <c r="C1362" s="126" t="s">
        <v>3412</v>
      </c>
    </row>
    <row r="1363" spans="1:31" s="90" customFormat="1" ht="11.25">
      <c r="A1363" s="131" t="s">
        <v>1064</v>
      </c>
      <c r="B1363" s="131" t="s">
        <v>2120</v>
      </c>
      <c r="C1363" s="131" t="s">
        <v>3413</v>
      </c>
      <c r="D1363" s="131" t="s">
        <v>3455</v>
      </c>
      <c r="E1363" s="132">
        <v>12</v>
      </c>
      <c r="F1363" s="132">
        <v>0</v>
      </c>
      <c r="G1363" s="132">
        <f>ROUND(E1363*AD1363,2)</f>
        <v>0</v>
      </c>
      <c r="H1363" s="132">
        <f>I1363-G1363</f>
        <v>0</v>
      </c>
      <c r="I1363" s="132">
        <f>ROUND(E1363*F1363,2)</f>
        <v>0</v>
      </c>
      <c r="J1363" s="132">
        <v>0.0027</v>
      </c>
      <c r="K1363" s="132">
        <f>E1363*J1363</f>
        <v>0.0324</v>
      </c>
      <c r="M1363" s="133" t="s">
        <v>1101</v>
      </c>
      <c r="N1363" s="132">
        <f>IF(M1363="5",H1363,0)</f>
        <v>0</v>
      </c>
      <c r="Y1363" s="132">
        <f>IF(AC1363=0,I1363,0)</f>
        <v>0</v>
      </c>
      <c r="Z1363" s="132">
        <f>IF(AC1363=14,I1363,0)</f>
        <v>0</v>
      </c>
      <c r="AA1363" s="132">
        <f>IF(AC1363=20,I1363,0)</f>
        <v>0</v>
      </c>
      <c r="AC1363" s="125">
        <v>20</v>
      </c>
      <c r="AD1363" s="125">
        <f>F1363*1</f>
        <v>0</v>
      </c>
      <c r="AE1363" s="125">
        <f>F1363*(1-1)</f>
        <v>0</v>
      </c>
    </row>
    <row r="1364" spans="1:31" s="90" customFormat="1" ht="11.25">
      <c r="A1364" s="122" t="s">
        <v>1065</v>
      </c>
      <c r="B1364" s="122" t="s">
        <v>2121</v>
      </c>
      <c r="C1364" s="122" t="s">
        <v>3414</v>
      </c>
      <c r="D1364" s="122" t="s">
        <v>3459</v>
      </c>
      <c r="E1364" s="123">
        <v>86</v>
      </c>
      <c r="F1364" s="123">
        <v>0</v>
      </c>
      <c r="G1364" s="123">
        <f>ROUND(E1364*AD1364,2)</f>
        <v>0</v>
      </c>
      <c r="H1364" s="123">
        <f>I1364-G1364</f>
        <v>0</v>
      </c>
      <c r="I1364" s="123">
        <f>ROUND(E1364*F1364,2)</f>
        <v>0</v>
      </c>
      <c r="J1364" s="123">
        <v>0.00374</v>
      </c>
      <c r="K1364" s="123">
        <f>E1364*J1364</f>
        <v>0.32164</v>
      </c>
      <c r="M1364" s="124" t="s">
        <v>7</v>
      </c>
      <c r="N1364" s="123">
        <f>IF(M1364="5",H1364,0)</f>
        <v>0</v>
      </c>
      <c r="Y1364" s="123">
        <f>IF(AC1364=0,I1364,0)</f>
        <v>0</v>
      </c>
      <c r="Z1364" s="123">
        <f>IF(AC1364=14,I1364,0)</f>
        <v>0</v>
      </c>
      <c r="AA1364" s="123">
        <f>IF(AC1364=20,I1364,0)</f>
        <v>0</v>
      </c>
      <c r="AC1364" s="125">
        <v>20</v>
      </c>
      <c r="AD1364" s="125">
        <f>F1364*0.296217161171272</f>
        <v>0</v>
      </c>
      <c r="AE1364" s="125">
        <f>F1364*(1-0.296217161171272)</f>
        <v>0</v>
      </c>
    </row>
    <row r="1365" spans="1:31" s="90" customFormat="1" ht="11.25">
      <c r="A1365" s="122" t="s">
        <v>1066</v>
      </c>
      <c r="B1365" s="122" t="s">
        <v>2122</v>
      </c>
      <c r="C1365" s="122" t="s">
        <v>3415</v>
      </c>
      <c r="D1365" s="122" t="s">
        <v>3459</v>
      </c>
      <c r="E1365" s="123">
        <v>15</v>
      </c>
      <c r="F1365" s="123">
        <v>0</v>
      </c>
      <c r="G1365" s="123">
        <f>ROUND(E1365*AD1365,2)</f>
        <v>0</v>
      </c>
      <c r="H1365" s="123">
        <f>I1365-G1365</f>
        <v>0</v>
      </c>
      <c r="I1365" s="123">
        <f>ROUND(E1365*F1365,2)</f>
        <v>0</v>
      </c>
      <c r="J1365" s="123">
        <v>0.00292</v>
      </c>
      <c r="K1365" s="123">
        <f>E1365*J1365</f>
        <v>0.0438</v>
      </c>
      <c r="M1365" s="124" t="s">
        <v>7</v>
      </c>
      <c r="N1365" s="123">
        <f>IF(M1365="5",H1365,0)</f>
        <v>0</v>
      </c>
      <c r="Y1365" s="123">
        <f>IF(AC1365=0,I1365,0)</f>
        <v>0</v>
      </c>
      <c r="Z1365" s="123">
        <f>IF(AC1365=14,I1365,0)</f>
        <v>0</v>
      </c>
      <c r="AA1365" s="123">
        <f>IF(AC1365=20,I1365,0)</f>
        <v>0</v>
      </c>
      <c r="AC1365" s="125">
        <v>20</v>
      </c>
      <c r="AD1365" s="125">
        <f>F1365*0.603763812154696</f>
        <v>0</v>
      </c>
      <c r="AE1365" s="125">
        <f>F1365*(1-0.603763812154696)</f>
        <v>0</v>
      </c>
    </row>
    <row r="1366" s="90" customFormat="1" ht="22.5">
      <c r="C1366" s="126" t="s">
        <v>3416</v>
      </c>
    </row>
    <row r="1367" spans="1:31" s="90" customFormat="1" ht="11.25">
      <c r="A1367" s="122" t="s">
        <v>1067</v>
      </c>
      <c r="B1367" s="122" t="s">
        <v>1881</v>
      </c>
      <c r="C1367" s="122" t="s">
        <v>3417</v>
      </c>
      <c r="D1367" s="122" t="s">
        <v>3465</v>
      </c>
      <c r="E1367" s="123">
        <v>500</v>
      </c>
      <c r="F1367" s="123">
        <v>0</v>
      </c>
      <c r="G1367" s="123">
        <f>ROUND(E1367*AD1367,2)</f>
        <v>0</v>
      </c>
      <c r="H1367" s="123">
        <f>I1367-G1367</f>
        <v>0</v>
      </c>
      <c r="I1367" s="123">
        <f>ROUND(E1367*F1367,2)</f>
        <v>0</v>
      </c>
      <c r="J1367" s="123">
        <v>0</v>
      </c>
      <c r="K1367" s="123">
        <f>E1367*J1367</f>
        <v>0</v>
      </c>
      <c r="M1367" s="124" t="s">
        <v>7</v>
      </c>
      <c r="N1367" s="123">
        <f>IF(M1367="5",H1367,0)</f>
        <v>0</v>
      </c>
      <c r="Y1367" s="123">
        <f>IF(AC1367=0,I1367,0)</f>
        <v>0</v>
      </c>
      <c r="Z1367" s="123">
        <f>IF(AC1367=14,I1367,0)</f>
        <v>0</v>
      </c>
      <c r="AA1367" s="123">
        <f>IF(AC1367=20,I1367,0)</f>
        <v>0</v>
      </c>
      <c r="AC1367" s="125">
        <v>20</v>
      </c>
      <c r="AD1367" s="125">
        <f>F1367*0</f>
        <v>0</v>
      </c>
      <c r="AE1367" s="125">
        <f>F1367*(1-0)</f>
        <v>0</v>
      </c>
    </row>
    <row r="1368" spans="1:31" s="90" customFormat="1" ht="11.25">
      <c r="A1368" s="122" t="s">
        <v>1068</v>
      </c>
      <c r="B1368" s="122" t="s">
        <v>1442</v>
      </c>
      <c r="C1368" s="122" t="s">
        <v>3418</v>
      </c>
      <c r="D1368" s="122" t="s">
        <v>3465</v>
      </c>
      <c r="E1368" s="123">
        <v>72</v>
      </c>
      <c r="F1368" s="123">
        <v>0</v>
      </c>
      <c r="G1368" s="123">
        <f>ROUND(E1368*AD1368,2)</f>
        <v>0</v>
      </c>
      <c r="H1368" s="123">
        <f>I1368-G1368</f>
        <v>0</v>
      </c>
      <c r="I1368" s="123">
        <f>ROUND(E1368*F1368,2)</f>
        <v>0</v>
      </c>
      <c r="J1368" s="123">
        <v>0</v>
      </c>
      <c r="K1368" s="123">
        <f>E1368*J1368</f>
        <v>0</v>
      </c>
      <c r="M1368" s="124" t="s">
        <v>7</v>
      </c>
      <c r="N1368" s="123">
        <f>IF(M1368="5",H1368,0)</f>
        <v>0</v>
      </c>
      <c r="Y1368" s="123">
        <f>IF(AC1368=0,I1368,0)</f>
        <v>0</v>
      </c>
      <c r="Z1368" s="123">
        <f>IF(AC1368=14,I1368,0)</f>
        <v>0</v>
      </c>
      <c r="AA1368" s="123">
        <f>IF(AC1368=20,I1368,0)</f>
        <v>0</v>
      </c>
      <c r="AC1368" s="125">
        <v>20</v>
      </c>
      <c r="AD1368" s="125">
        <f>F1368*0</f>
        <v>0</v>
      </c>
      <c r="AE1368" s="125">
        <f>F1368*(1-0)</f>
        <v>0</v>
      </c>
    </row>
    <row r="1369" s="90" customFormat="1" ht="11.25">
      <c r="C1369" s="126" t="s">
        <v>3419</v>
      </c>
    </row>
    <row r="1370" spans="1:31" s="90" customFormat="1" ht="11.25">
      <c r="A1370" s="122" t="s">
        <v>1069</v>
      </c>
      <c r="B1370" s="122" t="s">
        <v>2123</v>
      </c>
      <c r="C1370" s="122" t="s">
        <v>3420</v>
      </c>
      <c r="D1370" s="122" t="s">
        <v>3459</v>
      </c>
      <c r="E1370" s="123">
        <v>500</v>
      </c>
      <c r="F1370" s="123">
        <v>0</v>
      </c>
      <c r="G1370" s="123">
        <f>ROUND(E1370*AD1370,2)</f>
        <v>0</v>
      </c>
      <c r="H1370" s="123">
        <f>I1370-G1370</f>
        <v>0</v>
      </c>
      <c r="I1370" s="123">
        <f>ROUND(E1370*F1370,2)</f>
        <v>0</v>
      </c>
      <c r="J1370" s="123">
        <v>0.00158</v>
      </c>
      <c r="K1370" s="123">
        <f>E1370*J1370</f>
        <v>0.79</v>
      </c>
      <c r="M1370" s="124" t="s">
        <v>7</v>
      </c>
      <c r="N1370" s="123">
        <f>IF(M1370="5",H1370,0)</f>
        <v>0</v>
      </c>
      <c r="Y1370" s="123">
        <f>IF(AC1370=0,I1370,0)</f>
        <v>0</v>
      </c>
      <c r="Z1370" s="123">
        <f>IF(AC1370=14,I1370,0)</f>
        <v>0</v>
      </c>
      <c r="AA1370" s="123">
        <f>IF(AC1370=20,I1370,0)</f>
        <v>0</v>
      </c>
      <c r="AC1370" s="125">
        <v>20</v>
      </c>
      <c r="AD1370" s="125">
        <f>F1370*0.465256426023859</f>
        <v>0</v>
      </c>
      <c r="AE1370" s="125">
        <f>F1370*(1-0.465256426023859)</f>
        <v>0</v>
      </c>
    </row>
    <row r="1371" spans="1:31" s="90" customFormat="1" ht="11.25">
      <c r="A1371" s="122" t="s">
        <v>1070</v>
      </c>
      <c r="B1371" s="122" t="s">
        <v>1747</v>
      </c>
      <c r="C1371" s="122" t="s">
        <v>2956</v>
      </c>
      <c r="D1371" s="122" t="s">
        <v>3456</v>
      </c>
      <c r="E1371" s="123">
        <v>150</v>
      </c>
      <c r="F1371" s="123">
        <v>0</v>
      </c>
      <c r="G1371" s="123">
        <f>ROUND(E1371*AD1371,2)</f>
        <v>0</v>
      </c>
      <c r="H1371" s="123">
        <f>I1371-G1371</f>
        <v>0</v>
      </c>
      <c r="I1371" s="123">
        <f>ROUND(E1371*F1371,2)</f>
        <v>0</v>
      </c>
      <c r="J1371" s="123">
        <v>0.00468</v>
      </c>
      <c r="K1371" s="123">
        <f>E1371*J1371</f>
        <v>0.7020000000000001</v>
      </c>
      <c r="M1371" s="124" t="s">
        <v>7</v>
      </c>
      <c r="N1371" s="123">
        <f>IF(M1371="5",H1371,0)</f>
        <v>0</v>
      </c>
      <c r="Y1371" s="123">
        <f>IF(AC1371=0,I1371,0)</f>
        <v>0</v>
      </c>
      <c r="Z1371" s="123">
        <f>IF(AC1371=14,I1371,0)</f>
        <v>0</v>
      </c>
      <c r="AA1371" s="123">
        <f>IF(AC1371=20,I1371,0)</f>
        <v>0</v>
      </c>
      <c r="AC1371" s="125">
        <v>20</v>
      </c>
      <c r="AD1371" s="125">
        <f>F1371*0.0687279963263432</f>
        <v>0</v>
      </c>
      <c r="AE1371" s="125">
        <f>F1371*(1-0.0687279963263432)</f>
        <v>0</v>
      </c>
    </row>
    <row r="1372" spans="1:31" s="90" customFormat="1" ht="11.25">
      <c r="A1372" s="122" t="s">
        <v>1071</v>
      </c>
      <c r="B1372" s="122" t="s">
        <v>1139</v>
      </c>
      <c r="C1372" s="122" t="s">
        <v>2197</v>
      </c>
      <c r="D1372" s="122" t="s">
        <v>3460</v>
      </c>
      <c r="E1372" s="123">
        <v>4.02084</v>
      </c>
      <c r="F1372" s="123">
        <v>0</v>
      </c>
      <c r="G1372" s="123">
        <f>ROUND(E1372*AD1372,2)</f>
        <v>0</v>
      </c>
      <c r="H1372" s="123">
        <f>I1372-G1372</f>
        <v>0</v>
      </c>
      <c r="I1372" s="123">
        <f>ROUND(E1372*F1372,2)</f>
        <v>0</v>
      </c>
      <c r="J1372" s="123">
        <v>0</v>
      </c>
      <c r="K1372" s="123">
        <f>E1372*J1372</f>
        <v>0</v>
      </c>
      <c r="M1372" s="124" t="s">
        <v>11</v>
      </c>
      <c r="N1372" s="123">
        <f>IF(M1372="5",H1372,0)</f>
        <v>0</v>
      </c>
      <c r="Y1372" s="123">
        <f>IF(AC1372=0,I1372,0)</f>
        <v>0</v>
      </c>
      <c r="Z1372" s="123">
        <f>IF(AC1372=14,I1372,0)</f>
        <v>0</v>
      </c>
      <c r="AA1372" s="123">
        <f>IF(AC1372=20,I1372,0)</f>
        <v>0</v>
      </c>
      <c r="AC1372" s="125">
        <v>20</v>
      </c>
      <c r="AD1372" s="125">
        <f>F1372*0</f>
        <v>0</v>
      </c>
      <c r="AE1372" s="125">
        <f>F1372*(1-0)</f>
        <v>0</v>
      </c>
    </row>
    <row r="1373" spans="1:36" s="90" customFormat="1" ht="11.25">
      <c r="A1373" s="127"/>
      <c r="B1373" s="128" t="s">
        <v>2124</v>
      </c>
      <c r="C1373" s="129" t="s">
        <v>3421</v>
      </c>
      <c r="D1373" s="130"/>
      <c r="E1373" s="130"/>
      <c r="F1373" s="130"/>
      <c r="G1373" s="121">
        <f>SUM(G1374:G1398)</f>
        <v>0</v>
      </c>
      <c r="H1373" s="121">
        <f>SUM(H1374:H1398)</f>
        <v>0</v>
      </c>
      <c r="I1373" s="121">
        <f>G1373+H1373</f>
        <v>0</v>
      </c>
      <c r="J1373" s="114"/>
      <c r="K1373" s="121">
        <f>SUM(K1374:K1398)</f>
        <v>0.18812</v>
      </c>
      <c r="O1373" s="121">
        <f>IF(P1373="PR",I1373,SUM(N1374:N1398))</f>
        <v>0</v>
      </c>
      <c r="P1373" s="114" t="s">
        <v>3491</v>
      </c>
      <c r="Q1373" s="121">
        <f>IF(P1373="HS",G1373,0)</f>
        <v>0</v>
      </c>
      <c r="R1373" s="121">
        <f>IF(P1373="HS",H1373-O1373,0)</f>
        <v>0</v>
      </c>
      <c r="S1373" s="121">
        <f>IF(P1373="PS",G1373,0)</f>
        <v>0</v>
      </c>
      <c r="T1373" s="121">
        <f>IF(P1373="PS",H1373-O1373,0)</f>
        <v>0</v>
      </c>
      <c r="U1373" s="121">
        <f>IF(P1373="MP",G1373,0)</f>
        <v>0</v>
      </c>
      <c r="V1373" s="121">
        <f>IF(P1373="MP",H1373-O1373,0)</f>
        <v>0</v>
      </c>
      <c r="W1373" s="121">
        <f>IF(P1373="OM",G1373,0)</f>
        <v>0</v>
      </c>
      <c r="X1373" s="114"/>
      <c r="AH1373" s="121">
        <f>SUM(Y1374:Y1398)</f>
        <v>0</v>
      </c>
      <c r="AI1373" s="121">
        <f>SUM(Z1374:Z1398)</f>
        <v>0</v>
      </c>
      <c r="AJ1373" s="121">
        <f>SUM(AA1374:AA1398)</f>
        <v>0</v>
      </c>
    </row>
    <row r="1374" spans="1:31" s="90" customFormat="1" ht="11.25">
      <c r="A1374" s="122" t="s">
        <v>1072</v>
      </c>
      <c r="B1374" s="122" t="s">
        <v>2125</v>
      </c>
      <c r="C1374" s="122" t="s">
        <v>3422</v>
      </c>
      <c r="D1374" s="122" t="s">
        <v>3465</v>
      </c>
      <c r="E1374" s="123">
        <v>7</v>
      </c>
      <c r="F1374" s="123">
        <v>0</v>
      </c>
      <c r="G1374" s="123">
        <f>ROUND(E1374*AD1374,2)</f>
        <v>0</v>
      </c>
      <c r="H1374" s="123">
        <f>I1374-G1374</f>
        <v>0</v>
      </c>
      <c r="I1374" s="123">
        <f>ROUND(E1374*F1374,2)</f>
        <v>0</v>
      </c>
      <c r="J1374" s="123">
        <v>0</v>
      </c>
      <c r="K1374" s="123">
        <f>E1374*J1374</f>
        <v>0</v>
      </c>
      <c r="M1374" s="124" t="s">
        <v>8</v>
      </c>
      <c r="N1374" s="123">
        <f>IF(M1374="5",H1374,0)</f>
        <v>0</v>
      </c>
      <c r="Y1374" s="123">
        <f>IF(AC1374=0,I1374,0)</f>
        <v>0</v>
      </c>
      <c r="Z1374" s="123">
        <f>IF(AC1374=14,I1374,0)</f>
        <v>0</v>
      </c>
      <c r="AA1374" s="123">
        <f>IF(AC1374=20,I1374,0)</f>
        <v>0</v>
      </c>
      <c r="AC1374" s="125">
        <v>20</v>
      </c>
      <c r="AD1374" s="125">
        <f>F1374*0</f>
        <v>0</v>
      </c>
      <c r="AE1374" s="125">
        <f>F1374*(1-0)</f>
        <v>0</v>
      </c>
    </row>
    <row r="1375" s="90" customFormat="1" ht="11.25">
      <c r="C1375" s="126" t="s">
        <v>3423</v>
      </c>
    </row>
    <row r="1376" spans="1:31" s="90" customFormat="1" ht="11.25">
      <c r="A1376" s="131" t="s">
        <v>1073</v>
      </c>
      <c r="B1376" s="131" t="s">
        <v>2126</v>
      </c>
      <c r="C1376" s="131" t="s">
        <v>3424</v>
      </c>
      <c r="D1376" s="131" t="s">
        <v>3456</v>
      </c>
      <c r="E1376" s="132">
        <v>8</v>
      </c>
      <c r="F1376" s="132">
        <v>0</v>
      </c>
      <c r="G1376" s="132">
        <f aca="true" t="shared" si="396" ref="G1376:G1388">ROUND(E1376*AD1376,2)</f>
        <v>0</v>
      </c>
      <c r="H1376" s="132">
        <f aca="true" t="shared" si="397" ref="H1376:H1388">I1376-G1376</f>
        <v>0</v>
      </c>
      <c r="I1376" s="132">
        <f aca="true" t="shared" si="398" ref="I1376:I1388">ROUND(E1376*F1376,2)</f>
        <v>0</v>
      </c>
      <c r="J1376" s="132">
        <v>0</v>
      </c>
      <c r="K1376" s="132">
        <f aca="true" t="shared" si="399" ref="K1376:K1388">E1376*J1376</f>
        <v>0</v>
      </c>
      <c r="M1376" s="133" t="s">
        <v>1101</v>
      </c>
      <c r="N1376" s="132">
        <f aca="true" t="shared" si="400" ref="N1376:N1388">IF(M1376="5",H1376,0)</f>
        <v>0</v>
      </c>
      <c r="Y1376" s="132">
        <f aca="true" t="shared" si="401" ref="Y1376:Y1388">IF(AC1376=0,I1376,0)</f>
        <v>0</v>
      </c>
      <c r="Z1376" s="132">
        <f aca="true" t="shared" si="402" ref="Z1376:Z1388">IF(AC1376=14,I1376,0)</f>
        <v>0</v>
      </c>
      <c r="AA1376" s="132">
        <f aca="true" t="shared" si="403" ref="AA1376:AA1388">IF(AC1376=20,I1376,0)</f>
        <v>0</v>
      </c>
      <c r="AC1376" s="125">
        <v>20</v>
      </c>
      <c r="AD1376" s="125">
        <f>F1376*1</f>
        <v>0</v>
      </c>
      <c r="AE1376" s="125">
        <f>F1376*(1-1)</f>
        <v>0</v>
      </c>
    </row>
    <row r="1377" spans="1:31" s="90" customFormat="1" ht="11.25">
      <c r="A1377" s="122" t="s">
        <v>1074</v>
      </c>
      <c r="B1377" s="122" t="s">
        <v>2127</v>
      </c>
      <c r="C1377" s="122" t="s">
        <v>3425</v>
      </c>
      <c r="D1377" s="122" t="s">
        <v>3456</v>
      </c>
      <c r="E1377" s="123">
        <v>1</v>
      </c>
      <c r="F1377" s="123">
        <v>0</v>
      </c>
      <c r="G1377" s="123">
        <f t="shared" si="396"/>
        <v>0</v>
      </c>
      <c r="H1377" s="123">
        <f t="shared" si="397"/>
        <v>0</v>
      </c>
      <c r="I1377" s="123">
        <f t="shared" si="398"/>
        <v>0</v>
      </c>
      <c r="J1377" s="123">
        <v>0</v>
      </c>
      <c r="K1377" s="123">
        <f t="shared" si="399"/>
        <v>0</v>
      </c>
      <c r="M1377" s="124" t="s">
        <v>8</v>
      </c>
      <c r="N1377" s="123">
        <f t="shared" si="400"/>
        <v>0</v>
      </c>
      <c r="Y1377" s="123">
        <f t="shared" si="401"/>
        <v>0</v>
      </c>
      <c r="Z1377" s="123">
        <f t="shared" si="402"/>
        <v>0</v>
      </c>
      <c r="AA1377" s="123">
        <f t="shared" si="403"/>
        <v>0</v>
      </c>
      <c r="AC1377" s="125">
        <v>20</v>
      </c>
      <c r="AD1377" s="125">
        <f>F1377*0</f>
        <v>0</v>
      </c>
      <c r="AE1377" s="125">
        <f>F1377*(1-0)</f>
        <v>0</v>
      </c>
    </row>
    <row r="1378" spans="1:31" s="90" customFormat="1" ht="11.25">
      <c r="A1378" s="131" t="s">
        <v>1075</v>
      </c>
      <c r="B1378" s="131" t="s">
        <v>2128</v>
      </c>
      <c r="C1378" s="131" t="s">
        <v>3426</v>
      </c>
      <c r="D1378" s="131" t="s">
        <v>3456</v>
      </c>
      <c r="E1378" s="132">
        <v>3</v>
      </c>
      <c r="F1378" s="132">
        <v>0</v>
      </c>
      <c r="G1378" s="132">
        <f t="shared" si="396"/>
        <v>0</v>
      </c>
      <c r="H1378" s="132">
        <f t="shared" si="397"/>
        <v>0</v>
      </c>
      <c r="I1378" s="132">
        <f t="shared" si="398"/>
        <v>0</v>
      </c>
      <c r="J1378" s="132">
        <v>0.014</v>
      </c>
      <c r="K1378" s="132">
        <f t="shared" si="399"/>
        <v>0.042</v>
      </c>
      <c r="M1378" s="133" t="s">
        <v>1101</v>
      </c>
      <c r="N1378" s="132">
        <f t="shared" si="400"/>
        <v>0</v>
      </c>
      <c r="Y1378" s="132">
        <f t="shared" si="401"/>
        <v>0</v>
      </c>
      <c r="Z1378" s="132">
        <f t="shared" si="402"/>
        <v>0</v>
      </c>
      <c r="AA1378" s="132">
        <f t="shared" si="403"/>
        <v>0</v>
      </c>
      <c r="AC1378" s="125">
        <v>20</v>
      </c>
      <c r="AD1378" s="125">
        <f>F1378*1</f>
        <v>0</v>
      </c>
      <c r="AE1378" s="125">
        <f>F1378*(1-1)</f>
        <v>0</v>
      </c>
    </row>
    <row r="1379" spans="1:31" s="90" customFormat="1" ht="11.25">
      <c r="A1379" s="131" t="s">
        <v>1076</v>
      </c>
      <c r="B1379" s="131" t="s">
        <v>2129</v>
      </c>
      <c r="C1379" s="131" t="s">
        <v>3427</v>
      </c>
      <c r="D1379" s="131" t="s">
        <v>3456</v>
      </c>
      <c r="E1379" s="132">
        <v>10</v>
      </c>
      <c r="F1379" s="132">
        <v>0</v>
      </c>
      <c r="G1379" s="132">
        <f t="shared" si="396"/>
        <v>0</v>
      </c>
      <c r="H1379" s="132">
        <f t="shared" si="397"/>
        <v>0</v>
      </c>
      <c r="I1379" s="132">
        <f t="shared" si="398"/>
        <v>0</v>
      </c>
      <c r="J1379" s="132">
        <v>0.00024</v>
      </c>
      <c r="K1379" s="132">
        <f t="shared" si="399"/>
        <v>0.0024000000000000002</v>
      </c>
      <c r="M1379" s="133" t="s">
        <v>1101</v>
      </c>
      <c r="N1379" s="132">
        <f t="shared" si="400"/>
        <v>0</v>
      </c>
      <c r="Y1379" s="132">
        <f t="shared" si="401"/>
        <v>0</v>
      </c>
      <c r="Z1379" s="132">
        <f t="shared" si="402"/>
        <v>0</v>
      </c>
      <c r="AA1379" s="132">
        <f t="shared" si="403"/>
        <v>0</v>
      </c>
      <c r="AC1379" s="125">
        <v>20</v>
      </c>
      <c r="AD1379" s="125">
        <f>F1379*1</f>
        <v>0</v>
      </c>
      <c r="AE1379" s="125">
        <f>F1379*(1-1)</f>
        <v>0</v>
      </c>
    </row>
    <row r="1380" spans="1:31" s="90" customFormat="1" ht="11.25">
      <c r="A1380" s="122" t="s">
        <v>1077</v>
      </c>
      <c r="B1380" s="122" t="s">
        <v>1505</v>
      </c>
      <c r="C1380" s="122" t="s">
        <v>3428</v>
      </c>
      <c r="D1380" s="122" t="s">
        <v>3463</v>
      </c>
      <c r="E1380" s="123">
        <v>3</v>
      </c>
      <c r="F1380" s="123">
        <v>0</v>
      </c>
      <c r="G1380" s="123">
        <f t="shared" si="396"/>
        <v>0</v>
      </c>
      <c r="H1380" s="123">
        <f t="shared" si="397"/>
        <v>0</v>
      </c>
      <c r="I1380" s="123">
        <f t="shared" si="398"/>
        <v>0</v>
      </c>
      <c r="J1380" s="123">
        <v>0.00039</v>
      </c>
      <c r="K1380" s="123">
        <f t="shared" si="399"/>
        <v>0.00117</v>
      </c>
      <c r="M1380" s="124" t="s">
        <v>7</v>
      </c>
      <c r="N1380" s="123">
        <f t="shared" si="400"/>
        <v>0</v>
      </c>
      <c r="Y1380" s="123">
        <f t="shared" si="401"/>
        <v>0</v>
      </c>
      <c r="Z1380" s="123">
        <f t="shared" si="402"/>
        <v>0</v>
      </c>
      <c r="AA1380" s="123">
        <f t="shared" si="403"/>
        <v>0</v>
      </c>
      <c r="AC1380" s="125">
        <v>20</v>
      </c>
      <c r="AD1380" s="125">
        <f>F1380*0.713600092517636</f>
        <v>0</v>
      </c>
      <c r="AE1380" s="125">
        <f>F1380*(1-0.713600092517636)</f>
        <v>0</v>
      </c>
    </row>
    <row r="1381" spans="1:31" s="90" customFormat="1" ht="11.25">
      <c r="A1381" s="122" t="s">
        <v>1078</v>
      </c>
      <c r="B1381" s="122" t="s">
        <v>2130</v>
      </c>
      <c r="C1381" s="122" t="s">
        <v>3429</v>
      </c>
      <c r="D1381" s="122" t="s">
        <v>3463</v>
      </c>
      <c r="E1381" s="123">
        <v>8</v>
      </c>
      <c r="F1381" s="123">
        <v>0</v>
      </c>
      <c r="G1381" s="123">
        <f t="shared" si="396"/>
        <v>0</v>
      </c>
      <c r="H1381" s="123">
        <f t="shared" si="397"/>
        <v>0</v>
      </c>
      <c r="I1381" s="123">
        <f t="shared" si="398"/>
        <v>0</v>
      </c>
      <c r="J1381" s="123">
        <v>0.0005</v>
      </c>
      <c r="K1381" s="123">
        <f t="shared" si="399"/>
        <v>0.004</v>
      </c>
      <c r="M1381" s="124" t="s">
        <v>7</v>
      </c>
      <c r="N1381" s="123">
        <f t="shared" si="400"/>
        <v>0</v>
      </c>
      <c r="Y1381" s="123">
        <f t="shared" si="401"/>
        <v>0</v>
      </c>
      <c r="Z1381" s="123">
        <f t="shared" si="402"/>
        <v>0</v>
      </c>
      <c r="AA1381" s="123">
        <f t="shared" si="403"/>
        <v>0</v>
      </c>
      <c r="AC1381" s="125">
        <v>20</v>
      </c>
      <c r="AD1381" s="125">
        <f>F1381*0.948867981368619</f>
        <v>0</v>
      </c>
      <c r="AE1381" s="125">
        <f>F1381*(1-0.948867981368619)</f>
        <v>0</v>
      </c>
    </row>
    <row r="1382" spans="1:31" s="90" customFormat="1" ht="11.25">
      <c r="A1382" s="122" t="s">
        <v>1079</v>
      </c>
      <c r="B1382" s="122" t="s">
        <v>2131</v>
      </c>
      <c r="C1382" s="122" t="s">
        <v>3430</v>
      </c>
      <c r="D1382" s="122" t="s">
        <v>3455</v>
      </c>
      <c r="E1382" s="123">
        <v>94</v>
      </c>
      <c r="F1382" s="123">
        <v>0</v>
      </c>
      <c r="G1382" s="123">
        <f t="shared" si="396"/>
        <v>0</v>
      </c>
      <c r="H1382" s="123">
        <f t="shared" si="397"/>
        <v>0</v>
      </c>
      <c r="I1382" s="123">
        <f t="shared" si="398"/>
        <v>0</v>
      </c>
      <c r="J1382" s="123">
        <v>0.001</v>
      </c>
      <c r="K1382" s="123">
        <f t="shared" si="399"/>
        <v>0.094</v>
      </c>
      <c r="M1382" s="124" t="s">
        <v>7</v>
      </c>
      <c r="N1382" s="123">
        <f t="shared" si="400"/>
        <v>0</v>
      </c>
      <c r="Y1382" s="123">
        <f t="shared" si="401"/>
        <v>0</v>
      </c>
      <c r="Z1382" s="123">
        <f t="shared" si="402"/>
        <v>0</v>
      </c>
      <c r="AA1382" s="123">
        <f t="shared" si="403"/>
        <v>0</v>
      </c>
      <c r="AC1382" s="125">
        <v>20</v>
      </c>
      <c r="AD1382" s="125">
        <f>F1382*0.155505952380952</f>
        <v>0</v>
      </c>
      <c r="AE1382" s="125">
        <f>F1382*(1-0.155505952380952)</f>
        <v>0</v>
      </c>
    </row>
    <row r="1383" spans="1:31" s="90" customFormat="1" ht="11.25">
      <c r="A1383" s="122" t="s">
        <v>1080</v>
      </c>
      <c r="B1383" s="122" t="s">
        <v>2132</v>
      </c>
      <c r="C1383" s="122" t="s">
        <v>3431</v>
      </c>
      <c r="D1383" s="122" t="s">
        <v>3455</v>
      </c>
      <c r="E1383" s="123">
        <v>2</v>
      </c>
      <c r="F1383" s="123">
        <v>0</v>
      </c>
      <c r="G1383" s="123">
        <f t="shared" si="396"/>
        <v>0</v>
      </c>
      <c r="H1383" s="123">
        <f t="shared" si="397"/>
        <v>0</v>
      </c>
      <c r="I1383" s="123">
        <f t="shared" si="398"/>
        <v>0</v>
      </c>
      <c r="J1383" s="123">
        <v>0.00683</v>
      </c>
      <c r="K1383" s="123">
        <f t="shared" si="399"/>
        <v>0.01366</v>
      </c>
      <c r="M1383" s="124" t="s">
        <v>7</v>
      </c>
      <c r="N1383" s="123">
        <f t="shared" si="400"/>
        <v>0</v>
      </c>
      <c r="Y1383" s="123">
        <f t="shared" si="401"/>
        <v>0</v>
      </c>
      <c r="Z1383" s="123">
        <f t="shared" si="402"/>
        <v>0</v>
      </c>
      <c r="AA1383" s="123">
        <f t="shared" si="403"/>
        <v>0</v>
      </c>
      <c r="AC1383" s="125">
        <v>20</v>
      </c>
      <c r="AD1383" s="125">
        <f>F1383*0.330627468187802</f>
        <v>0</v>
      </c>
      <c r="AE1383" s="125">
        <f>F1383*(1-0.330627468187802)</f>
        <v>0</v>
      </c>
    </row>
    <row r="1384" spans="1:31" s="90" customFormat="1" ht="11.25">
      <c r="A1384" s="122" t="s">
        <v>1081</v>
      </c>
      <c r="B1384" s="122" t="s">
        <v>2133</v>
      </c>
      <c r="C1384" s="122" t="s">
        <v>3432</v>
      </c>
      <c r="D1384" s="122" t="s">
        <v>3455</v>
      </c>
      <c r="E1384" s="123">
        <v>2</v>
      </c>
      <c r="F1384" s="123">
        <v>0</v>
      </c>
      <c r="G1384" s="123">
        <f t="shared" si="396"/>
        <v>0</v>
      </c>
      <c r="H1384" s="123">
        <f t="shared" si="397"/>
        <v>0</v>
      </c>
      <c r="I1384" s="123">
        <f t="shared" si="398"/>
        <v>0</v>
      </c>
      <c r="J1384" s="123">
        <v>0.00736</v>
      </c>
      <c r="K1384" s="123">
        <f t="shared" si="399"/>
        <v>0.01472</v>
      </c>
      <c r="M1384" s="124" t="s">
        <v>7</v>
      </c>
      <c r="N1384" s="123">
        <f t="shared" si="400"/>
        <v>0</v>
      </c>
      <c r="Y1384" s="123">
        <f t="shared" si="401"/>
        <v>0</v>
      </c>
      <c r="Z1384" s="123">
        <f t="shared" si="402"/>
        <v>0</v>
      </c>
      <c r="AA1384" s="123">
        <f t="shared" si="403"/>
        <v>0</v>
      </c>
      <c r="AC1384" s="125">
        <v>20</v>
      </c>
      <c r="AD1384" s="125">
        <f>F1384*0.583054307880768</f>
        <v>0</v>
      </c>
      <c r="AE1384" s="125">
        <f>F1384*(1-0.583054307880768)</f>
        <v>0</v>
      </c>
    </row>
    <row r="1385" spans="1:31" s="90" customFormat="1" ht="11.25">
      <c r="A1385" s="122" t="s">
        <v>1082</v>
      </c>
      <c r="B1385" s="122" t="s">
        <v>2134</v>
      </c>
      <c r="C1385" s="122" t="s">
        <v>3433</v>
      </c>
      <c r="D1385" s="122" t="s">
        <v>3456</v>
      </c>
      <c r="E1385" s="123">
        <v>2</v>
      </c>
      <c r="F1385" s="123">
        <v>0</v>
      </c>
      <c r="G1385" s="123">
        <f t="shared" si="396"/>
        <v>0</v>
      </c>
      <c r="H1385" s="123">
        <f t="shared" si="397"/>
        <v>0</v>
      </c>
      <c r="I1385" s="123">
        <f t="shared" si="398"/>
        <v>0</v>
      </c>
      <c r="J1385" s="123">
        <v>0</v>
      </c>
      <c r="K1385" s="123">
        <f t="shared" si="399"/>
        <v>0</v>
      </c>
      <c r="M1385" s="124" t="s">
        <v>7</v>
      </c>
      <c r="N1385" s="123">
        <f t="shared" si="400"/>
        <v>0</v>
      </c>
      <c r="Y1385" s="123">
        <f t="shared" si="401"/>
        <v>0</v>
      </c>
      <c r="Z1385" s="123">
        <f t="shared" si="402"/>
        <v>0</v>
      </c>
      <c r="AA1385" s="123">
        <f t="shared" si="403"/>
        <v>0</v>
      </c>
      <c r="AC1385" s="125">
        <v>20</v>
      </c>
      <c r="AD1385" s="125">
        <f>F1385*0</f>
        <v>0</v>
      </c>
      <c r="AE1385" s="125">
        <f>F1385*(1-0)</f>
        <v>0</v>
      </c>
    </row>
    <row r="1386" spans="1:31" s="90" customFormat="1" ht="11.25">
      <c r="A1386" s="122" t="s">
        <v>1083</v>
      </c>
      <c r="B1386" s="122" t="s">
        <v>2135</v>
      </c>
      <c r="C1386" s="122" t="s">
        <v>3434</v>
      </c>
      <c r="D1386" s="122" t="s">
        <v>3456</v>
      </c>
      <c r="E1386" s="123">
        <v>8</v>
      </c>
      <c r="F1386" s="123">
        <v>0</v>
      </c>
      <c r="G1386" s="123">
        <f t="shared" si="396"/>
        <v>0</v>
      </c>
      <c r="H1386" s="123">
        <f t="shared" si="397"/>
        <v>0</v>
      </c>
      <c r="I1386" s="123">
        <f t="shared" si="398"/>
        <v>0</v>
      </c>
      <c r="J1386" s="123">
        <v>0</v>
      </c>
      <c r="K1386" s="123">
        <f t="shared" si="399"/>
        <v>0</v>
      </c>
      <c r="M1386" s="124" t="s">
        <v>7</v>
      </c>
      <c r="N1386" s="123">
        <f t="shared" si="400"/>
        <v>0</v>
      </c>
      <c r="Y1386" s="123">
        <f t="shared" si="401"/>
        <v>0</v>
      </c>
      <c r="Z1386" s="123">
        <f t="shared" si="402"/>
        <v>0</v>
      </c>
      <c r="AA1386" s="123">
        <f t="shared" si="403"/>
        <v>0</v>
      </c>
      <c r="AC1386" s="125">
        <v>20</v>
      </c>
      <c r="AD1386" s="125">
        <f>F1386*0</f>
        <v>0</v>
      </c>
      <c r="AE1386" s="125">
        <f>F1386*(1-0)</f>
        <v>0</v>
      </c>
    </row>
    <row r="1387" spans="1:31" s="90" customFormat="1" ht="11.25">
      <c r="A1387" s="122" t="s">
        <v>1084</v>
      </c>
      <c r="B1387" s="122" t="s">
        <v>1507</v>
      </c>
      <c r="C1387" s="122" t="s">
        <v>2660</v>
      </c>
      <c r="D1387" s="122" t="s">
        <v>3456</v>
      </c>
      <c r="E1387" s="123">
        <v>21</v>
      </c>
      <c r="F1387" s="123">
        <v>0</v>
      </c>
      <c r="G1387" s="123">
        <f t="shared" si="396"/>
        <v>0</v>
      </c>
      <c r="H1387" s="123">
        <f t="shared" si="397"/>
        <v>0</v>
      </c>
      <c r="I1387" s="123">
        <f t="shared" si="398"/>
        <v>0</v>
      </c>
      <c r="J1387" s="123">
        <v>0</v>
      </c>
      <c r="K1387" s="123">
        <f t="shared" si="399"/>
        <v>0</v>
      </c>
      <c r="M1387" s="124" t="s">
        <v>7</v>
      </c>
      <c r="N1387" s="123">
        <f t="shared" si="400"/>
        <v>0</v>
      </c>
      <c r="Y1387" s="123">
        <f t="shared" si="401"/>
        <v>0</v>
      </c>
      <c r="Z1387" s="123">
        <f t="shared" si="402"/>
        <v>0</v>
      </c>
      <c r="AA1387" s="123">
        <f t="shared" si="403"/>
        <v>0</v>
      </c>
      <c r="AC1387" s="125">
        <v>20</v>
      </c>
      <c r="AD1387" s="125">
        <f>F1387*0.0622317596566524</f>
        <v>0</v>
      </c>
      <c r="AE1387" s="125">
        <f>F1387*(1-0.0622317596566524)</f>
        <v>0</v>
      </c>
    </row>
    <row r="1388" spans="1:31" s="90" customFormat="1" ht="11.25">
      <c r="A1388" s="122" t="s">
        <v>1085</v>
      </c>
      <c r="B1388" s="122" t="s">
        <v>2136</v>
      </c>
      <c r="C1388" s="122" t="s">
        <v>3435</v>
      </c>
      <c r="D1388" s="122" t="s">
        <v>3459</v>
      </c>
      <c r="E1388" s="123">
        <v>1</v>
      </c>
      <c r="F1388" s="123">
        <v>0</v>
      </c>
      <c r="G1388" s="123">
        <f t="shared" si="396"/>
        <v>0</v>
      </c>
      <c r="H1388" s="123">
        <f t="shared" si="397"/>
        <v>0</v>
      </c>
      <c r="I1388" s="123">
        <f t="shared" si="398"/>
        <v>0</v>
      </c>
      <c r="J1388" s="123">
        <v>0.00049</v>
      </c>
      <c r="K1388" s="123">
        <f t="shared" si="399"/>
        <v>0.00049</v>
      </c>
      <c r="M1388" s="124" t="s">
        <v>9</v>
      </c>
      <c r="N1388" s="123">
        <f t="shared" si="400"/>
        <v>0</v>
      </c>
      <c r="Y1388" s="123">
        <f t="shared" si="401"/>
        <v>0</v>
      </c>
      <c r="Z1388" s="123">
        <f t="shared" si="402"/>
        <v>0</v>
      </c>
      <c r="AA1388" s="123">
        <f t="shared" si="403"/>
        <v>0</v>
      </c>
      <c r="AC1388" s="125">
        <v>20</v>
      </c>
      <c r="AD1388" s="125">
        <f>F1388*0.380308737720659</f>
        <v>0</v>
      </c>
      <c r="AE1388" s="125">
        <f>F1388*(1-0.380308737720659)</f>
        <v>0</v>
      </c>
    </row>
    <row r="1389" s="90" customFormat="1" ht="11.25">
      <c r="C1389" s="126" t="s">
        <v>3436</v>
      </c>
    </row>
    <row r="1390" spans="1:31" s="90" customFormat="1" ht="11.25">
      <c r="A1390" s="122" t="s">
        <v>1086</v>
      </c>
      <c r="B1390" s="122" t="s">
        <v>2137</v>
      </c>
      <c r="C1390" s="122" t="s">
        <v>3437</v>
      </c>
      <c r="D1390" s="122" t="s">
        <v>3455</v>
      </c>
      <c r="E1390" s="123">
        <v>98</v>
      </c>
      <c r="F1390" s="123">
        <v>0</v>
      </c>
      <c r="G1390" s="123">
        <f>ROUND(E1390*AD1390,2)</f>
        <v>0</v>
      </c>
      <c r="H1390" s="123">
        <f>I1390-G1390</f>
        <v>0</v>
      </c>
      <c r="I1390" s="123">
        <f>ROUND(E1390*F1390,2)</f>
        <v>0</v>
      </c>
      <c r="J1390" s="123">
        <v>7E-05</v>
      </c>
      <c r="K1390" s="123">
        <f>E1390*J1390</f>
        <v>0.00686</v>
      </c>
      <c r="M1390" s="124" t="s">
        <v>7</v>
      </c>
      <c r="N1390" s="123">
        <f>IF(M1390="5",H1390,0)</f>
        <v>0</v>
      </c>
      <c r="Y1390" s="123">
        <f>IF(AC1390=0,I1390,0)</f>
        <v>0</v>
      </c>
      <c r="Z1390" s="123">
        <f>IF(AC1390=14,I1390,0)</f>
        <v>0</v>
      </c>
      <c r="AA1390" s="123">
        <f>IF(AC1390=20,I1390,0)</f>
        <v>0</v>
      </c>
      <c r="AC1390" s="125">
        <v>20</v>
      </c>
      <c r="AD1390" s="125">
        <f>F1390*0.230182926829268</f>
        <v>0</v>
      </c>
      <c r="AE1390" s="125">
        <f>F1390*(1-0.230182926829268)</f>
        <v>0</v>
      </c>
    </row>
    <row r="1391" spans="1:31" s="90" customFormat="1" ht="11.25">
      <c r="A1391" s="122" t="s">
        <v>1087</v>
      </c>
      <c r="B1391" s="122" t="s">
        <v>2138</v>
      </c>
      <c r="C1391" s="122" t="s">
        <v>3438</v>
      </c>
      <c r="D1391" s="122" t="s">
        <v>3455</v>
      </c>
      <c r="E1391" s="123">
        <v>98</v>
      </c>
      <c r="F1391" s="123">
        <v>0</v>
      </c>
      <c r="G1391" s="123">
        <f>ROUND(E1391*AD1391,2)</f>
        <v>0</v>
      </c>
      <c r="H1391" s="123">
        <f>I1391-G1391</f>
        <v>0</v>
      </c>
      <c r="I1391" s="123">
        <f>ROUND(E1391*F1391,2)</f>
        <v>0</v>
      </c>
      <c r="J1391" s="123">
        <v>9E-05</v>
      </c>
      <c r="K1391" s="123">
        <f>E1391*J1391</f>
        <v>0.00882</v>
      </c>
      <c r="M1391" s="124" t="s">
        <v>7</v>
      </c>
      <c r="N1391" s="123">
        <f>IF(M1391="5",H1391,0)</f>
        <v>0</v>
      </c>
      <c r="Y1391" s="123">
        <f>IF(AC1391=0,I1391,0)</f>
        <v>0</v>
      </c>
      <c r="Z1391" s="123">
        <f>IF(AC1391=14,I1391,0)</f>
        <v>0</v>
      </c>
      <c r="AA1391" s="123">
        <f>IF(AC1391=20,I1391,0)</f>
        <v>0</v>
      </c>
      <c r="AC1391" s="125">
        <v>20</v>
      </c>
      <c r="AD1391" s="125">
        <f>F1391*0.23486882875439</f>
        <v>0</v>
      </c>
      <c r="AE1391" s="125">
        <f>F1391*(1-0.23486882875439)</f>
        <v>0</v>
      </c>
    </row>
    <row r="1392" spans="1:31" s="90" customFormat="1" ht="11.25">
      <c r="A1392" s="122" t="s">
        <v>1088</v>
      </c>
      <c r="B1392" s="122" t="s">
        <v>2139</v>
      </c>
      <c r="C1392" s="122" t="s">
        <v>3439</v>
      </c>
      <c r="D1392" s="122" t="s">
        <v>3465</v>
      </c>
      <c r="E1392" s="123">
        <v>10</v>
      </c>
      <c r="F1392" s="123">
        <v>0</v>
      </c>
      <c r="G1392" s="123">
        <f>ROUND(E1392*AD1392,2)</f>
        <v>0</v>
      </c>
      <c r="H1392" s="123">
        <f>I1392-G1392</f>
        <v>0</v>
      </c>
      <c r="I1392" s="123">
        <f>ROUND(E1392*F1392,2)</f>
        <v>0</v>
      </c>
      <c r="J1392" s="123">
        <v>0</v>
      </c>
      <c r="K1392" s="123">
        <f>E1392*J1392</f>
        <v>0</v>
      </c>
      <c r="M1392" s="124" t="s">
        <v>7</v>
      </c>
      <c r="N1392" s="123">
        <f>IF(M1392="5",H1392,0)</f>
        <v>0</v>
      </c>
      <c r="Y1392" s="123">
        <f>IF(AC1392=0,I1392,0)</f>
        <v>0</v>
      </c>
      <c r="Z1392" s="123">
        <f>IF(AC1392=14,I1392,0)</f>
        <v>0</v>
      </c>
      <c r="AA1392" s="123">
        <f>IF(AC1392=20,I1392,0)</f>
        <v>0</v>
      </c>
      <c r="AC1392" s="125">
        <v>20</v>
      </c>
      <c r="AD1392" s="125">
        <f>F1392*0</f>
        <v>0</v>
      </c>
      <c r="AE1392" s="125">
        <f>F1392*(1-0)</f>
        <v>0</v>
      </c>
    </row>
    <row r="1393" s="90" customFormat="1" ht="11.25">
      <c r="C1393" s="126" t="s">
        <v>3440</v>
      </c>
    </row>
    <row r="1394" spans="1:31" s="90" customFormat="1" ht="11.25">
      <c r="A1394" s="122" t="s">
        <v>1089</v>
      </c>
      <c r="B1394" s="122" t="s">
        <v>2140</v>
      </c>
      <c r="C1394" s="122" t="s">
        <v>3441</v>
      </c>
      <c r="D1394" s="122" t="s">
        <v>3465</v>
      </c>
      <c r="E1394" s="123">
        <v>5</v>
      </c>
      <c r="F1394" s="123">
        <v>0</v>
      </c>
      <c r="G1394" s="123">
        <f>ROUND(E1394*AD1394,2)</f>
        <v>0</v>
      </c>
      <c r="H1394" s="123">
        <f>I1394-G1394</f>
        <v>0</v>
      </c>
      <c r="I1394" s="123">
        <f>ROUND(E1394*F1394,2)</f>
        <v>0</v>
      </c>
      <c r="J1394" s="123">
        <v>0</v>
      </c>
      <c r="K1394" s="123">
        <f>E1394*J1394</f>
        <v>0</v>
      </c>
      <c r="M1394" s="124" t="s">
        <v>7</v>
      </c>
      <c r="N1394" s="123">
        <f>IF(M1394="5",H1394,0)</f>
        <v>0</v>
      </c>
      <c r="Y1394" s="123">
        <f>IF(AC1394=0,I1394,0)</f>
        <v>0</v>
      </c>
      <c r="Z1394" s="123">
        <f>IF(AC1394=14,I1394,0)</f>
        <v>0</v>
      </c>
      <c r="AA1394" s="123">
        <f>IF(AC1394=20,I1394,0)</f>
        <v>0</v>
      </c>
      <c r="AC1394" s="125">
        <v>20</v>
      </c>
      <c r="AD1394" s="125">
        <f>F1394*0</f>
        <v>0</v>
      </c>
      <c r="AE1394" s="125">
        <f>F1394*(1-0)</f>
        <v>0</v>
      </c>
    </row>
    <row r="1395" spans="1:31" s="90" customFormat="1" ht="11.25">
      <c r="A1395" s="122" t="s">
        <v>1090</v>
      </c>
      <c r="B1395" s="122" t="s">
        <v>2141</v>
      </c>
      <c r="C1395" s="122" t="s">
        <v>3442</v>
      </c>
      <c r="D1395" s="122" t="s">
        <v>3465</v>
      </c>
      <c r="E1395" s="123">
        <v>5</v>
      </c>
      <c r="F1395" s="123">
        <v>0</v>
      </c>
      <c r="G1395" s="123">
        <f>ROUND(E1395*AD1395,2)</f>
        <v>0</v>
      </c>
      <c r="H1395" s="123">
        <f>I1395-G1395</f>
        <v>0</v>
      </c>
      <c r="I1395" s="123">
        <f>ROUND(E1395*F1395,2)</f>
        <v>0</v>
      </c>
      <c r="J1395" s="123">
        <v>0</v>
      </c>
      <c r="K1395" s="123">
        <f>E1395*J1395</f>
        <v>0</v>
      </c>
      <c r="M1395" s="124" t="s">
        <v>7</v>
      </c>
      <c r="N1395" s="123">
        <f>IF(M1395="5",H1395,0)</f>
        <v>0</v>
      </c>
      <c r="Y1395" s="123">
        <f>IF(AC1395=0,I1395,0)</f>
        <v>0</v>
      </c>
      <c r="Z1395" s="123">
        <f>IF(AC1395=14,I1395,0)</f>
        <v>0</v>
      </c>
      <c r="AA1395" s="123">
        <f>IF(AC1395=20,I1395,0)</f>
        <v>0</v>
      </c>
      <c r="AC1395" s="125">
        <v>20</v>
      </c>
      <c r="AD1395" s="125">
        <f>F1395*0</f>
        <v>0</v>
      </c>
      <c r="AE1395" s="125">
        <f>F1395*(1-0)</f>
        <v>0</v>
      </c>
    </row>
    <row r="1396" spans="1:31" s="90" customFormat="1" ht="11.25">
      <c r="A1396" s="122" t="s">
        <v>1091</v>
      </c>
      <c r="B1396" s="122" t="s">
        <v>1442</v>
      </c>
      <c r="C1396" s="122" t="s">
        <v>3418</v>
      </c>
      <c r="D1396" s="122" t="s">
        <v>3465</v>
      </c>
      <c r="E1396" s="123">
        <v>15</v>
      </c>
      <c r="F1396" s="123">
        <v>0</v>
      </c>
      <c r="G1396" s="123">
        <f>ROUND(E1396*AD1396,2)</f>
        <v>0</v>
      </c>
      <c r="H1396" s="123">
        <f>I1396-G1396</f>
        <v>0</v>
      </c>
      <c r="I1396" s="123">
        <f>ROUND(E1396*F1396,2)</f>
        <v>0</v>
      </c>
      <c r="J1396" s="123">
        <v>0</v>
      </c>
      <c r="K1396" s="123">
        <f>E1396*J1396</f>
        <v>0</v>
      </c>
      <c r="M1396" s="124" t="s">
        <v>7</v>
      </c>
      <c r="N1396" s="123">
        <f>IF(M1396="5",H1396,0)</f>
        <v>0</v>
      </c>
      <c r="Y1396" s="123">
        <f>IF(AC1396=0,I1396,0)</f>
        <v>0</v>
      </c>
      <c r="Z1396" s="123">
        <f>IF(AC1396=14,I1396,0)</f>
        <v>0</v>
      </c>
      <c r="AA1396" s="123">
        <f>IF(AC1396=20,I1396,0)</f>
        <v>0</v>
      </c>
      <c r="AC1396" s="125">
        <v>20</v>
      </c>
      <c r="AD1396" s="125">
        <f>F1396*0</f>
        <v>0</v>
      </c>
      <c r="AE1396" s="125">
        <f>F1396*(1-0)</f>
        <v>0</v>
      </c>
    </row>
    <row r="1397" s="90" customFormat="1" ht="11.25">
      <c r="C1397" s="126" t="s">
        <v>3419</v>
      </c>
    </row>
    <row r="1398" spans="1:31" s="90" customFormat="1" ht="11.25">
      <c r="A1398" s="122" t="s">
        <v>1092</v>
      </c>
      <c r="B1398" s="122" t="s">
        <v>1139</v>
      </c>
      <c r="C1398" s="122" t="s">
        <v>2197</v>
      </c>
      <c r="D1398" s="122" t="s">
        <v>3460</v>
      </c>
      <c r="E1398" s="123">
        <v>0.18812</v>
      </c>
      <c r="F1398" s="123">
        <v>0</v>
      </c>
      <c r="G1398" s="123">
        <f>ROUND(E1398*AD1398,2)</f>
        <v>0</v>
      </c>
      <c r="H1398" s="123">
        <f>I1398-G1398</f>
        <v>0</v>
      </c>
      <c r="I1398" s="123">
        <f>ROUND(E1398*F1398,2)</f>
        <v>0</v>
      </c>
      <c r="J1398" s="123">
        <v>0</v>
      </c>
      <c r="K1398" s="123">
        <f>E1398*J1398</f>
        <v>0</v>
      </c>
      <c r="M1398" s="124" t="s">
        <v>11</v>
      </c>
      <c r="N1398" s="123">
        <f>IF(M1398="5",H1398,0)</f>
        <v>0</v>
      </c>
      <c r="Y1398" s="123">
        <f>IF(AC1398=0,I1398,0)</f>
        <v>0</v>
      </c>
      <c r="Z1398" s="123">
        <f>IF(AC1398=14,I1398,0)</f>
        <v>0</v>
      </c>
      <c r="AA1398" s="123">
        <f>IF(AC1398=20,I1398,0)</f>
        <v>0</v>
      </c>
      <c r="AC1398" s="125">
        <v>20</v>
      </c>
      <c r="AD1398" s="125">
        <f>F1398*0</f>
        <v>0</v>
      </c>
      <c r="AE1398" s="125">
        <f>F1398*(1-0)</f>
        <v>0</v>
      </c>
    </row>
    <row r="1399" spans="1:36" s="90" customFormat="1" ht="11.25">
      <c r="A1399" s="127"/>
      <c r="B1399" s="128" t="s">
        <v>2142</v>
      </c>
      <c r="C1399" s="129" t="s">
        <v>3443</v>
      </c>
      <c r="D1399" s="130"/>
      <c r="E1399" s="130"/>
      <c r="F1399" s="130"/>
      <c r="G1399" s="121">
        <f>SUM(G1400:G1405)</f>
        <v>0</v>
      </c>
      <c r="H1399" s="121">
        <f>SUM(H1400:H1405)</f>
        <v>0</v>
      </c>
      <c r="I1399" s="121">
        <f>G1399+H1399</f>
        <v>0</v>
      </c>
      <c r="J1399" s="114"/>
      <c r="K1399" s="121">
        <f>SUM(K1400:K1405)</f>
        <v>0</v>
      </c>
      <c r="O1399" s="121">
        <f>IF(P1399="PR",I1399,SUM(N1400:N1405))</f>
        <v>0</v>
      </c>
      <c r="P1399" s="114" t="s">
        <v>3492</v>
      </c>
      <c r="Q1399" s="121">
        <f>IF(P1399="HS",G1399,0)</f>
        <v>0</v>
      </c>
      <c r="R1399" s="121">
        <f>IF(P1399="HS",H1399-O1399,0)</f>
        <v>0</v>
      </c>
      <c r="S1399" s="121">
        <f>IF(P1399="PS",G1399,0)</f>
        <v>0</v>
      </c>
      <c r="T1399" s="121">
        <f>IF(P1399="PS",H1399-O1399,0)</f>
        <v>0</v>
      </c>
      <c r="U1399" s="121">
        <f>IF(P1399="MP",G1399,0)</f>
        <v>0</v>
      </c>
      <c r="V1399" s="121">
        <f>IF(P1399="MP",H1399-O1399,0)</f>
        <v>0</v>
      </c>
      <c r="W1399" s="121">
        <f>IF(P1399="OM",G1399,0)</f>
        <v>0</v>
      </c>
      <c r="X1399" s="114"/>
      <c r="AH1399" s="121">
        <f>SUM(Y1400:Y1405)</f>
        <v>0</v>
      </c>
      <c r="AI1399" s="121">
        <f>SUM(Z1400:Z1405)</f>
        <v>0</v>
      </c>
      <c r="AJ1399" s="121">
        <f>SUM(AA1400:AA1405)</f>
        <v>0</v>
      </c>
    </row>
    <row r="1400" spans="1:31" s="90" customFormat="1" ht="11.25">
      <c r="A1400" s="122" t="s">
        <v>1093</v>
      </c>
      <c r="B1400" s="122" t="s">
        <v>2143</v>
      </c>
      <c r="C1400" s="122" t="s">
        <v>3444</v>
      </c>
      <c r="D1400" s="122" t="s">
        <v>3460</v>
      </c>
      <c r="E1400" s="123">
        <v>253.18</v>
      </c>
      <c r="F1400" s="123">
        <v>0</v>
      </c>
      <c r="G1400" s="123">
        <f aca="true" t="shared" si="404" ref="G1400:G1405">ROUND(E1400*AD1400,2)</f>
        <v>0</v>
      </c>
      <c r="H1400" s="123">
        <f aca="true" t="shared" si="405" ref="H1400:H1405">I1400-G1400</f>
        <v>0</v>
      </c>
      <c r="I1400" s="123">
        <f aca="true" t="shared" si="406" ref="I1400:I1405">ROUND(E1400*F1400,2)</f>
        <v>0</v>
      </c>
      <c r="J1400" s="123">
        <v>0</v>
      </c>
      <c r="K1400" s="123">
        <f aca="true" t="shared" si="407" ref="K1400:K1405">E1400*J1400</f>
        <v>0</v>
      </c>
      <c r="M1400" s="124" t="s">
        <v>11</v>
      </c>
      <c r="N1400" s="123">
        <f aca="true" t="shared" si="408" ref="N1400:N1405">IF(M1400="5",H1400,0)</f>
        <v>0</v>
      </c>
      <c r="Y1400" s="123">
        <f aca="true" t="shared" si="409" ref="Y1400:Y1405">IF(AC1400=0,I1400,0)</f>
        <v>0</v>
      </c>
      <c r="Z1400" s="123">
        <f aca="true" t="shared" si="410" ref="Z1400:Z1405">IF(AC1400=14,I1400,0)</f>
        <v>0</v>
      </c>
      <c r="AA1400" s="123">
        <f aca="true" t="shared" si="411" ref="AA1400:AA1405">IF(AC1400=20,I1400,0)</f>
        <v>0</v>
      </c>
      <c r="AC1400" s="125">
        <v>20</v>
      </c>
      <c r="AD1400" s="125">
        <f aca="true" t="shared" si="412" ref="AD1400:AD1405">F1400*0</f>
        <v>0</v>
      </c>
      <c r="AE1400" s="125">
        <f aca="true" t="shared" si="413" ref="AE1400:AE1405">F1400*(1-0)</f>
        <v>0</v>
      </c>
    </row>
    <row r="1401" spans="1:31" s="90" customFormat="1" ht="11.25">
      <c r="A1401" s="122" t="s">
        <v>1094</v>
      </c>
      <c r="B1401" s="122" t="s">
        <v>2144</v>
      </c>
      <c r="C1401" s="122" t="s">
        <v>3445</v>
      </c>
      <c r="D1401" s="122" t="s">
        <v>3460</v>
      </c>
      <c r="E1401" s="123">
        <v>2278.62</v>
      </c>
      <c r="F1401" s="123">
        <v>0</v>
      </c>
      <c r="G1401" s="123">
        <f t="shared" si="404"/>
        <v>0</v>
      </c>
      <c r="H1401" s="123">
        <f t="shared" si="405"/>
        <v>0</v>
      </c>
      <c r="I1401" s="123">
        <f t="shared" si="406"/>
        <v>0</v>
      </c>
      <c r="J1401" s="123">
        <v>0</v>
      </c>
      <c r="K1401" s="123">
        <f t="shared" si="407"/>
        <v>0</v>
      </c>
      <c r="M1401" s="124" t="s">
        <v>11</v>
      </c>
      <c r="N1401" s="123">
        <f t="shared" si="408"/>
        <v>0</v>
      </c>
      <c r="Y1401" s="123">
        <f t="shared" si="409"/>
        <v>0</v>
      </c>
      <c r="Z1401" s="123">
        <f t="shared" si="410"/>
        <v>0</v>
      </c>
      <c r="AA1401" s="123">
        <f t="shared" si="411"/>
        <v>0</v>
      </c>
      <c r="AC1401" s="125">
        <v>20</v>
      </c>
      <c r="AD1401" s="125">
        <f t="shared" si="412"/>
        <v>0</v>
      </c>
      <c r="AE1401" s="125">
        <f t="shared" si="413"/>
        <v>0</v>
      </c>
    </row>
    <row r="1402" spans="1:31" s="90" customFormat="1" ht="11.25">
      <c r="A1402" s="122" t="s">
        <v>1095</v>
      </c>
      <c r="B1402" s="122" t="s">
        <v>2145</v>
      </c>
      <c r="C1402" s="122" t="s">
        <v>3446</v>
      </c>
      <c r="D1402" s="122" t="s">
        <v>3460</v>
      </c>
      <c r="E1402" s="123">
        <v>253.18</v>
      </c>
      <c r="F1402" s="123">
        <v>0</v>
      </c>
      <c r="G1402" s="123">
        <f t="shared" si="404"/>
        <v>0</v>
      </c>
      <c r="H1402" s="123">
        <f t="shared" si="405"/>
        <v>0</v>
      </c>
      <c r="I1402" s="123">
        <f t="shared" si="406"/>
        <v>0</v>
      </c>
      <c r="J1402" s="123">
        <v>0</v>
      </c>
      <c r="K1402" s="123">
        <f t="shared" si="407"/>
        <v>0</v>
      </c>
      <c r="M1402" s="124" t="s">
        <v>11</v>
      </c>
      <c r="N1402" s="123">
        <f t="shared" si="408"/>
        <v>0</v>
      </c>
      <c r="Y1402" s="123">
        <f t="shared" si="409"/>
        <v>0</v>
      </c>
      <c r="Z1402" s="123">
        <f t="shared" si="410"/>
        <v>0</v>
      </c>
      <c r="AA1402" s="123">
        <f t="shared" si="411"/>
        <v>0</v>
      </c>
      <c r="AC1402" s="125">
        <v>20</v>
      </c>
      <c r="AD1402" s="125">
        <f t="shared" si="412"/>
        <v>0</v>
      </c>
      <c r="AE1402" s="125">
        <f t="shared" si="413"/>
        <v>0</v>
      </c>
    </row>
    <row r="1403" spans="1:31" s="90" customFormat="1" ht="11.25">
      <c r="A1403" s="122" t="s">
        <v>1096</v>
      </c>
      <c r="B1403" s="122" t="s">
        <v>2146</v>
      </c>
      <c r="C1403" s="122" t="s">
        <v>3447</v>
      </c>
      <c r="D1403" s="122" t="s">
        <v>3460</v>
      </c>
      <c r="E1403" s="123">
        <v>253.18</v>
      </c>
      <c r="F1403" s="123">
        <v>0</v>
      </c>
      <c r="G1403" s="123">
        <f t="shared" si="404"/>
        <v>0</v>
      </c>
      <c r="H1403" s="123">
        <f t="shared" si="405"/>
        <v>0</v>
      </c>
      <c r="I1403" s="123">
        <f t="shared" si="406"/>
        <v>0</v>
      </c>
      <c r="J1403" s="123">
        <v>0</v>
      </c>
      <c r="K1403" s="123">
        <f t="shared" si="407"/>
        <v>0</v>
      </c>
      <c r="M1403" s="124" t="s">
        <v>11</v>
      </c>
      <c r="N1403" s="123">
        <f t="shared" si="408"/>
        <v>0</v>
      </c>
      <c r="Y1403" s="123">
        <f t="shared" si="409"/>
        <v>0</v>
      </c>
      <c r="Z1403" s="123">
        <f t="shared" si="410"/>
        <v>0</v>
      </c>
      <c r="AA1403" s="123">
        <f t="shared" si="411"/>
        <v>0</v>
      </c>
      <c r="AC1403" s="125">
        <v>20</v>
      </c>
      <c r="AD1403" s="125">
        <f t="shared" si="412"/>
        <v>0</v>
      </c>
      <c r="AE1403" s="125">
        <f t="shared" si="413"/>
        <v>0</v>
      </c>
    </row>
    <row r="1404" spans="1:31" s="90" customFormat="1" ht="11.25">
      <c r="A1404" s="122" t="s">
        <v>1097</v>
      </c>
      <c r="B1404" s="122" t="s">
        <v>2147</v>
      </c>
      <c r="C1404" s="122" t="s">
        <v>3448</v>
      </c>
      <c r="D1404" s="122" t="s">
        <v>3460</v>
      </c>
      <c r="E1404" s="123">
        <v>253.02</v>
      </c>
      <c r="F1404" s="123">
        <v>0</v>
      </c>
      <c r="G1404" s="123">
        <f t="shared" si="404"/>
        <v>0</v>
      </c>
      <c r="H1404" s="123">
        <f t="shared" si="405"/>
        <v>0</v>
      </c>
      <c r="I1404" s="123">
        <f t="shared" si="406"/>
        <v>0</v>
      </c>
      <c r="J1404" s="123">
        <v>0</v>
      </c>
      <c r="K1404" s="123">
        <f t="shared" si="407"/>
        <v>0</v>
      </c>
      <c r="M1404" s="124" t="s">
        <v>11</v>
      </c>
      <c r="N1404" s="123">
        <f t="shared" si="408"/>
        <v>0</v>
      </c>
      <c r="Y1404" s="123">
        <f t="shared" si="409"/>
        <v>0</v>
      </c>
      <c r="Z1404" s="123">
        <f t="shared" si="410"/>
        <v>0</v>
      </c>
      <c r="AA1404" s="123">
        <f t="shared" si="411"/>
        <v>0</v>
      </c>
      <c r="AC1404" s="125">
        <v>20</v>
      </c>
      <c r="AD1404" s="125">
        <f t="shared" si="412"/>
        <v>0</v>
      </c>
      <c r="AE1404" s="125">
        <f t="shared" si="413"/>
        <v>0</v>
      </c>
    </row>
    <row r="1405" spans="1:31" s="90" customFormat="1" ht="11.25">
      <c r="A1405" s="134" t="s">
        <v>1098</v>
      </c>
      <c r="B1405" s="134" t="s">
        <v>2148</v>
      </c>
      <c r="C1405" s="134" t="s">
        <v>3449</v>
      </c>
      <c r="D1405" s="134" t="s">
        <v>3460</v>
      </c>
      <c r="E1405" s="135">
        <v>0.16</v>
      </c>
      <c r="F1405" s="135">
        <v>0</v>
      </c>
      <c r="G1405" s="135">
        <f t="shared" si="404"/>
        <v>0</v>
      </c>
      <c r="H1405" s="135">
        <f t="shared" si="405"/>
        <v>0</v>
      </c>
      <c r="I1405" s="135">
        <f t="shared" si="406"/>
        <v>0</v>
      </c>
      <c r="J1405" s="135">
        <v>0</v>
      </c>
      <c r="K1405" s="135">
        <f t="shared" si="407"/>
        <v>0</v>
      </c>
      <c r="M1405" s="124" t="s">
        <v>11</v>
      </c>
      <c r="N1405" s="123">
        <f t="shared" si="408"/>
        <v>0</v>
      </c>
      <c r="Y1405" s="123">
        <f t="shared" si="409"/>
        <v>0</v>
      </c>
      <c r="Z1405" s="123">
        <f t="shared" si="410"/>
        <v>0</v>
      </c>
      <c r="AA1405" s="123">
        <f t="shared" si="411"/>
        <v>0</v>
      </c>
      <c r="AC1405" s="125">
        <v>20</v>
      </c>
      <c r="AD1405" s="125">
        <f t="shared" si="412"/>
        <v>0</v>
      </c>
      <c r="AE1405" s="125">
        <f t="shared" si="413"/>
        <v>0</v>
      </c>
    </row>
    <row r="1406" spans="1:27" s="90" customFormat="1" ht="11.25">
      <c r="A1406" s="136"/>
      <c r="B1406" s="136"/>
      <c r="C1406" s="136"/>
      <c r="D1406" s="136"/>
      <c r="E1406" s="136"/>
      <c r="F1406" s="136"/>
      <c r="G1406" s="87" t="s">
        <v>3476</v>
      </c>
      <c r="H1406" s="137"/>
      <c r="I1406" s="138">
        <f>I12+I23+I57+I78+I127+I133+I145+I176+I183+I196+I205+I216+I228+I240+I255+I273+I288+I292+I319+I340+I396+I431+I455+I483+I522+I568+I586+I611+I625+I636+I680+I717+I728+I734+I738+I744+I748+I759+I762+I808+I829+I836+I843+I864+I880+I1080+I1273+I1373+I1399</f>
        <v>0</v>
      </c>
      <c r="J1406" s="136"/>
      <c r="K1406" s="136"/>
      <c r="Y1406" s="139">
        <f>SUM(Y13:Y1405)</f>
        <v>0</v>
      </c>
      <c r="Z1406" s="139">
        <f>SUM(Z13:Z1405)</f>
        <v>0</v>
      </c>
      <c r="AA1406" s="139">
        <f>SUM(AA13:AA1405)</f>
        <v>0</v>
      </c>
    </row>
    <row r="1407" s="90" customFormat="1" ht="11.25"/>
  </sheetData>
  <sheetProtection/>
  <mergeCells count="77">
    <mergeCell ref="C1273:F1273"/>
    <mergeCell ref="C1373:F1373"/>
    <mergeCell ref="C1399:F1399"/>
    <mergeCell ref="G1406:H1406"/>
    <mergeCell ref="C829:F829"/>
    <mergeCell ref="C836:F836"/>
    <mergeCell ref="C843:F843"/>
    <mergeCell ref="C864:F864"/>
    <mergeCell ref="C880:F880"/>
    <mergeCell ref="C1080:F1080"/>
    <mergeCell ref="C738:F738"/>
    <mergeCell ref="C744:F744"/>
    <mergeCell ref="C748:F748"/>
    <mergeCell ref="C759:F759"/>
    <mergeCell ref="C762:F762"/>
    <mergeCell ref="C808:F808"/>
    <mergeCell ref="C625:F625"/>
    <mergeCell ref="C636:F636"/>
    <mergeCell ref="C680:F680"/>
    <mergeCell ref="C717:F717"/>
    <mergeCell ref="C728:F728"/>
    <mergeCell ref="C734:F734"/>
    <mergeCell ref="C455:F455"/>
    <mergeCell ref="C483:F483"/>
    <mergeCell ref="C522:F522"/>
    <mergeCell ref="C568:F568"/>
    <mergeCell ref="C586:F586"/>
    <mergeCell ref="C611:F611"/>
    <mergeCell ref="C288:F288"/>
    <mergeCell ref="C292:F292"/>
    <mergeCell ref="C319:F319"/>
    <mergeCell ref="C340:F340"/>
    <mergeCell ref="C396:F396"/>
    <mergeCell ref="C431:F431"/>
    <mergeCell ref="C205:F205"/>
    <mergeCell ref="C216:F216"/>
    <mergeCell ref="C228:F228"/>
    <mergeCell ref="C240:F240"/>
    <mergeCell ref="C255:F255"/>
    <mergeCell ref="C273:F273"/>
    <mergeCell ref="C127:F127"/>
    <mergeCell ref="C133:F133"/>
    <mergeCell ref="C145:F145"/>
    <mergeCell ref="C176:F176"/>
    <mergeCell ref="C183:F183"/>
    <mergeCell ref="C196:F196"/>
    <mergeCell ref="G10:I10"/>
    <mergeCell ref="J10:K10"/>
    <mergeCell ref="C12:F12"/>
    <mergeCell ref="C23:F23"/>
    <mergeCell ref="C57:F57"/>
    <mergeCell ref="C78:F78"/>
    <mergeCell ref="H2:H3"/>
    <mergeCell ref="H4:H5"/>
    <mergeCell ref="H6:H7"/>
    <mergeCell ref="H8:H9"/>
    <mergeCell ref="I2:K3"/>
    <mergeCell ref="I4:K5"/>
    <mergeCell ref="I6:K7"/>
    <mergeCell ref="I8:K9"/>
    <mergeCell ref="D4:E5"/>
    <mergeCell ref="D6:E7"/>
    <mergeCell ref="D8:E9"/>
    <mergeCell ref="F2:G3"/>
    <mergeCell ref="F4:G5"/>
    <mergeCell ref="F6:G7"/>
    <mergeCell ref="F8:G9"/>
    <mergeCell ref="A1:K1"/>
    <mergeCell ref="A2:B3"/>
    <mergeCell ref="A4:B5"/>
    <mergeCell ref="A6:B7"/>
    <mergeCell ref="A8:B9"/>
    <mergeCell ref="C2:C3"/>
    <mergeCell ref="C4:C5"/>
    <mergeCell ref="C6:C7"/>
    <mergeCell ref="C8:C9"/>
    <mergeCell ref="D2:E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37">
      <selection activeCell="K61" sqref="K61"/>
    </sheetView>
  </sheetViews>
  <sheetFormatPr defaultColWidth="11.421875" defaultRowHeight="12.75"/>
  <cols>
    <col min="1" max="1" width="3.7109375" style="0" customWidth="1"/>
    <col min="2" max="2" width="5.0039062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8" width="8.00390625" style="0" customWidth="1"/>
    <col min="9" max="11" width="14.28125" style="0" customWidth="1"/>
    <col min="12" max="12" width="11.7109375" style="0" customWidth="1"/>
    <col min="13" max="14" width="12.140625" style="0" hidden="1" customWidth="1"/>
  </cols>
  <sheetData>
    <row r="1" spans="1:12" ht="21.7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12.75">
      <c r="A2" s="2" t="s">
        <v>1</v>
      </c>
      <c r="B2" s="8"/>
      <c r="C2" s="8"/>
      <c r="D2" s="13" t="s">
        <v>2149</v>
      </c>
      <c r="E2" s="16" t="s">
        <v>3450</v>
      </c>
      <c r="F2" s="8"/>
      <c r="G2" s="16"/>
      <c r="H2" s="8"/>
      <c r="I2" s="16" t="s">
        <v>3477</v>
      </c>
      <c r="J2" s="16" t="s">
        <v>3482</v>
      </c>
      <c r="K2" s="8"/>
      <c r="L2" s="25"/>
      <c r="M2" s="28"/>
    </row>
    <row r="3" spans="1:13" ht="12.75">
      <c r="A3" s="3"/>
      <c r="B3" s="9"/>
      <c r="C3" s="9"/>
      <c r="D3" s="14"/>
      <c r="E3" s="9"/>
      <c r="F3" s="9"/>
      <c r="G3" s="9"/>
      <c r="H3" s="9"/>
      <c r="I3" s="9"/>
      <c r="J3" s="9"/>
      <c r="K3" s="9"/>
      <c r="L3" s="26"/>
      <c r="M3" s="28"/>
    </row>
    <row r="4" spans="1:13" ht="12.75">
      <c r="A4" s="4" t="s">
        <v>2</v>
      </c>
      <c r="B4" s="9"/>
      <c r="C4" s="9"/>
      <c r="D4" s="15" t="s">
        <v>2150</v>
      </c>
      <c r="E4" s="15" t="s">
        <v>3451</v>
      </c>
      <c r="F4" s="9"/>
      <c r="G4" s="17"/>
      <c r="H4" s="9"/>
      <c r="I4" s="15" t="s">
        <v>3478</v>
      </c>
      <c r="J4" s="15" t="s">
        <v>3483</v>
      </c>
      <c r="K4" s="9"/>
      <c r="L4" s="26"/>
      <c r="M4" s="28"/>
    </row>
    <row r="5" spans="1:13" ht="12.75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26"/>
      <c r="M5" s="28"/>
    </row>
    <row r="6" spans="1:13" ht="12.75">
      <c r="A6" s="4" t="s">
        <v>3</v>
      </c>
      <c r="B6" s="9"/>
      <c r="C6" s="9"/>
      <c r="D6" s="15" t="s">
        <v>2151</v>
      </c>
      <c r="E6" s="15" t="s">
        <v>3452</v>
      </c>
      <c r="F6" s="9"/>
      <c r="G6" s="9"/>
      <c r="H6" s="9"/>
      <c r="I6" s="15" t="s">
        <v>3479</v>
      </c>
      <c r="J6" s="15"/>
      <c r="K6" s="9"/>
      <c r="L6" s="26"/>
      <c r="M6" s="28"/>
    </row>
    <row r="7" spans="1:13" ht="12.75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26"/>
      <c r="M7" s="28"/>
    </row>
    <row r="8" spans="1:13" ht="12.75">
      <c r="A8" s="4" t="s">
        <v>4</v>
      </c>
      <c r="B8" s="9"/>
      <c r="C8" s="9"/>
      <c r="D8" s="15"/>
      <c r="E8" s="15" t="s">
        <v>3453</v>
      </c>
      <c r="F8" s="9"/>
      <c r="G8" s="17">
        <v>41078</v>
      </c>
      <c r="H8" s="9"/>
      <c r="I8" s="15" t="s">
        <v>3480</v>
      </c>
      <c r="J8" s="15" t="s">
        <v>3484</v>
      </c>
      <c r="K8" s="9"/>
      <c r="L8" s="26"/>
      <c r="M8" s="28"/>
    </row>
    <row r="9" spans="1:13" ht="12.75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  <c r="L9" s="27"/>
      <c r="M9" s="28"/>
    </row>
    <row r="10" spans="1:13" ht="12.75">
      <c r="A10" s="11" t="s">
        <v>5</v>
      </c>
      <c r="B10" s="11" t="s">
        <v>5</v>
      </c>
      <c r="C10" s="35" t="s">
        <v>5</v>
      </c>
      <c r="D10" s="39"/>
      <c r="E10" s="39"/>
      <c r="F10" s="39"/>
      <c r="G10" s="39"/>
      <c r="H10" s="42"/>
      <c r="I10" s="18" t="s">
        <v>3474</v>
      </c>
      <c r="J10" s="20"/>
      <c r="K10" s="23"/>
      <c r="L10" s="46" t="s">
        <v>3486</v>
      </c>
      <c r="M10" s="29"/>
    </row>
    <row r="11" spans="1:13" ht="12.75">
      <c r="A11" s="12" t="s">
        <v>1099</v>
      </c>
      <c r="B11" s="12" t="s">
        <v>1100</v>
      </c>
      <c r="C11" s="36" t="s">
        <v>3500</v>
      </c>
      <c r="D11" s="40"/>
      <c r="E11" s="40"/>
      <c r="F11" s="40"/>
      <c r="G11" s="40"/>
      <c r="H11" s="43"/>
      <c r="I11" s="19" t="s">
        <v>3475</v>
      </c>
      <c r="J11" s="21" t="s">
        <v>3481</v>
      </c>
      <c r="K11" s="21" t="s">
        <v>3485</v>
      </c>
      <c r="L11" s="24" t="s">
        <v>3485</v>
      </c>
      <c r="M11" s="29"/>
    </row>
    <row r="12" spans="1:14" ht="12.75">
      <c r="A12" s="32"/>
      <c r="B12" s="32" t="s">
        <v>1101</v>
      </c>
      <c r="C12" s="37" t="s">
        <v>2153</v>
      </c>
      <c r="D12" s="39"/>
      <c r="E12" s="39"/>
      <c r="F12" s="39"/>
      <c r="G12" s="39"/>
      <c r="H12" s="39"/>
      <c r="I12" s="44">
        <f>SUM('Stavební rozpočet'!G12)</f>
        <v>0</v>
      </c>
      <c r="J12" s="44">
        <f>SUM('Stavební rozpočet'!H12)</f>
        <v>0</v>
      </c>
      <c r="K12" s="44">
        <f>SUM(I12:J12)</f>
        <v>0</v>
      </c>
      <c r="L12" s="44">
        <v>0</v>
      </c>
      <c r="M12" s="30" t="s">
        <v>3501</v>
      </c>
      <c r="N12" s="30">
        <f aca="true" t="shared" si="0" ref="N12:N43">IF(M12="T",0,K12)</f>
        <v>0</v>
      </c>
    </row>
    <row r="13" spans="1:14" ht="12.75">
      <c r="A13" s="33"/>
      <c r="B13" s="33" t="s">
        <v>18</v>
      </c>
      <c r="C13" s="15" t="s">
        <v>2164</v>
      </c>
      <c r="D13" s="9"/>
      <c r="E13" s="9"/>
      <c r="F13" s="9"/>
      <c r="G13" s="9"/>
      <c r="H13" s="9"/>
      <c r="I13" s="30">
        <f>SUM('Stavební rozpočet'!G23)</f>
        <v>0</v>
      </c>
      <c r="J13" s="30">
        <f>SUM('Stavební rozpočet'!H23)</f>
        <v>0</v>
      </c>
      <c r="K13" s="30">
        <f>SUM(I13:J13)</f>
        <v>0</v>
      </c>
      <c r="L13" s="30">
        <v>124.1621</v>
      </c>
      <c r="M13" s="30" t="s">
        <v>3501</v>
      </c>
      <c r="N13" s="30">
        <f t="shared" si="0"/>
        <v>0</v>
      </c>
    </row>
    <row r="14" spans="1:14" ht="12.75">
      <c r="A14" s="33"/>
      <c r="B14" s="33" t="s">
        <v>33</v>
      </c>
      <c r="C14" s="15" t="s">
        <v>2198</v>
      </c>
      <c r="D14" s="9"/>
      <c r="E14" s="9"/>
      <c r="F14" s="9"/>
      <c r="G14" s="9"/>
      <c r="H14" s="9"/>
      <c r="I14" s="30">
        <f>SUM('Stavební rozpočet'!G57)</f>
        <v>0</v>
      </c>
      <c r="J14" s="30">
        <f>SUM('Stavební rozpočet'!H57)</f>
        <v>0</v>
      </c>
      <c r="K14" s="30">
        <f aca="true" t="shared" si="1" ref="K14:K60">SUM(I14:J14)</f>
        <v>0</v>
      </c>
      <c r="L14" s="30">
        <v>824.54124</v>
      </c>
      <c r="M14" s="30" t="s">
        <v>3501</v>
      </c>
      <c r="N14" s="30">
        <f t="shared" si="0"/>
        <v>0</v>
      </c>
    </row>
    <row r="15" spans="1:14" ht="12.75">
      <c r="A15" s="33"/>
      <c r="B15" s="33" t="s">
        <v>37</v>
      </c>
      <c r="C15" s="15" t="s">
        <v>2218</v>
      </c>
      <c r="D15" s="9"/>
      <c r="E15" s="9"/>
      <c r="F15" s="9"/>
      <c r="G15" s="9"/>
      <c r="H15" s="9"/>
      <c r="I15" s="30">
        <f>SUM('Stavební rozpočet'!G78)</f>
        <v>0</v>
      </c>
      <c r="J15" s="30">
        <f>SUM('Stavební rozpočet'!H78)</f>
        <v>0</v>
      </c>
      <c r="K15" s="30">
        <f t="shared" si="1"/>
        <v>0</v>
      </c>
      <c r="L15" s="30">
        <v>634.55893</v>
      </c>
      <c r="M15" s="30" t="s">
        <v>3501</v>
      </c>
      <c r="N15" s="30">
        <f t="shared" si="0"/>
        <v>0</v>
      </c>
    </row>
    <row r="16" spans="1:14" ht="12.75">
      <c r="A16" s="33"/>
      <c r="B16" s="33" t="s">
        <v>39</v>
      </c>
      <c r="C16" s="15" t="s">
        <v>2265</v>
      </c>
      <c r="D16" s="9"/>
      <c r="E16" s="9"/>
      <c r="F16" s="9"/>
      <c r="G16" s="9"/>
      <c r="H16" s="9"/>
      <c r="I16" s="30">
        <f>SUM('Stavební rozpočet'!G127)</f>
        <v>0</v>
      </c>
      <c r="J16" s="30">
        <f>SUM('Stavební rozpočet'!H127)</f>
        <v>0</v>
      </c>
      <c r="K16" s="30">
        <f t="shared" si="1"/>
        <v>0</v>
      </c>
      <c r="L16" s="30">
        <v>50.20472</v>
      </c>
      <c r="M16" s="30" t="s">
        <v>3501</v>
      </c>
      <c r="N16" s="30">
        <f t="shared" si="0"/>
        <v>0</v>
      </c>
    </row>
    <row r="17" spans="1:14" ht="12.75">
      <c r="A17" s="33"/>
      <c r="B17" s="33" t="s">
        <v>40</v>
      </c>
      <c r="C17" s="15" t="s">
        <v>2270</v>
      </c>
      <c r="D17" s="9"/>
      <c r="E17" s="9"/>
      <c r="F17" s="9"/>
      <c r="G17" s="9"/>
      <c r="H17" s="9"/>
      <c r="I17" s="30">
        <f>SUM('Stavební rozpočet'!G133)</f>
        <v>0</v>
      </c>
      <c r="J17" s="30">
        <f>SUM('Stavební rozpočet'!H133)</f>
        <v>0</v>
      </c>
      <c r="K17" s="30">
        <f t="shared" si="1"/>
        <v>0</v>
      </c>
      <c r="L17" s="30">
        <v>157.9545</v>
      </c>
      <c r="M17" s="30" t="s">
        <v>3501</v>
      </c>
      <c r="N17" s="30">
        <f t="shared" si="0"/>
        <v>0</v>
      </c>
    </row>
    <row r="18" spans="1:14" ht="12.75">
      <c r="A18" s="33"/>
      <c r="B18" s="33" t="s">
        <v>47</v>
      </c>
      <c r="C18" s="15" t="s">
        <v>2281</v>
      </c>
      <c r="D18" s="9"/>
      <c r="E18" s="9"/>
      <c r="F18" s="9"/>
      <c r="G18" s="9"/>
      <c r="H18" s="9"/>
      <c r="I18" s="30">
        <f>SUM('Stavební rozpočet'!G145)</f>
        <v>0</v>
      </c>
      <c r="J18" s="30">
        <f>SUM('Stavební rozpočet'!H145)</f>
        <v>0</v>
      </c>
      <c r="K18" s="30">
        <f t="shared" si="1"/>
        <v>0</v>
      </c>
      <c r="L18" s="30">
        <v>650.00944</v>
      </c>
      <c r="M18" s="30" t="s">
        <v>3501</v>
      </c>
      <c r="N18" s="30">
        <f t="shared" si="0"/>
        <v>0</v>
      </c>
    </row>
    <row r="19" spans="1:14" ht="12.75">
      <c r="A19" s="33"/>
      <c r="B19" s="33" t="s">
        <v>49</v>
      </c>
      <c r="C19" s="15" t="s">
        <v>2311</v>
      </c>
      <c r="D19" s="9"/>
      <c r="E19" s="9"/>
      <c r="F19" s="9"/>
      <c r="G19" s="9"/>
      <c r="H19" s="9"/>
      <c r="I19" s="30">
        <f>SUM('Stavební rozpočet'!G176)</f>
        <v>0</v>
      </c>
      <c r="J19" s="30">
        <f>SUM('Stavební rozpočet'!H176)</f>
        <v>0</v>
      </c>
      <c r="K19" s="30">
        <f t="shared" si="1"/>
        <v>0</v>
      </c>
      <c r="L19" s="30">
        <v>17.63541</v>
      </c>
      <c r="M19" s="30" t="s">
        <v>3501</v>
      </c>
      <c r="N19" s="30">
        <f t="shared" si="0"/>
        <v>0</v>
      </c>
    </row>
    <row r="20" spans="1:14" ht="12.75">
      <c r="A20" s="33"/>
      <c r="B20" s="33" t="s">
        <v>62</v>
      </c>
      <c r="C20" s="15" t="s">
        <v>2317</v>
      </c>
      <c r="D20" s="9"/>
      <c r="E20" s="9"/>
      <c r="F20" s="9"/>
      <c r="G20" s="9"/>
      <c r="H20" s="9"/>
      <c r="I20" s="30">
        <f>SUM('Stavební rozpočet'!G183)</f>
        <v>0</v>
      </c>
      <c r="J20" s="30">
        <f>SUM('Stavební rozpočet'!H183)</f>
        <v>0</v>
      </c>
      <c r="K20" s="30">
        <f t="shared" si="1"/>
        <v>0</v>
      </c>
      <c r="L20" s="30">
        <v>806.57093</v>
      </c>
      <c r="M20" s="30" t="s">
        <v>3501</v>
      </c>
      <c r="N20" s="30">
        <f t="shared" si="0"/>
        <v>0</v>
      </c>
    </row>
    <row r="21" spans="1:14" ht="12.75">
      <c r="A21" s="33"/>
      <c r="B21" s="33" t="s">
        <v>63</v>
      </c>
      <c r="C21" s="15" t="s">
        <v>2330</v>
      </c>
      <c r="D21" s="9"/>
      <c r="E21" s="9"/>
      <c r="F21" s="9"/>
      <c r="G21" s="9"/>
      <c r="H21" s="9"/>
      <c r="I21" s="30">
        <f>SUM('Stavební rozpočet'!G196)</f>
        <v>0</v>
      </c>
      <c r="J21" s="30">
        <f>SUM('Stavební rozpočet'!H196)</f>
        <v>0</v>
      </c>
      <c r="K21" s="30">
        <f t="shared" si="1"/>
        <v>0</v>
      </c>
      <c r="L21" s="30">
        <v>110.57172</v>
      </c>
      <c r="M21" s="30" t="s">
        <v>3501</v>
      </c>
      <c r="N21" s="30">
        <f t="shared" si="0"/>
        <v>0</v>
      </c>
    </row>
    <row r="22" spans="1:14" ht="12.75">
      <c r="A22" s="33"/>
      <c r="B22" s="33" t="s">
        <v>65</v>
      </c>
      <c r="C22" s="15" t="s">
        <v>2336</v>
      </c>
      <c r="D22" s="9"/>
      <c r="E22" s="9"/>
      <c r="F22" s="9"/>
      <c r="G22" s="9"/>
      <c r="H22" s="9"/>
      <c r="I22" s="30">
        <f>SUM('Stavební rozpočet'!G205)</f>
        <v>0</v>
      </c>
      <c r="J22" s="30">
        <f>SUM('Stavební rozpočet'!H205)</f>
        <v>0</v>
      </c>
      <c r="K22" s="30">
        <f t="shared" si="1"/>
        <v>0</v>
      </c>
      <c r="L22" s="30">
        <v>58.10465</v>
      </c>
      <c r="M22" s="30" t="s">
        <v>3501</v>
      </c>
      <c r="N22" s="30">
        <f t="shared" si="0"/>
        <v>0</v>
      </c>
    </row>
    <row r="23" spans="1:14" ht="12.75">
      <c r="A23" s="33"/>
      <c r="B23" s="33" t="s">
        <v>67</v>
      </c>
      <c r="C23" s="15" t="s">
        <v>2347</v>
      </c>
      <c r="D23" s="9"/>
      <c r="E23" s="9"/>
      <c r="F23" s="9"/>
      <c r="G23" s="9"/>
      <c r="H23" s="9"/>
      <c r="I23" s="30">
        <f>SUM('Stavební rozpočet'!G216)</f>
        <v>0</v>
      </c>
      <c r="J23" s="30">
        <f>SUM('Stavební rozpočet'!H216)</f>
        <v>0</v>
      </c>
      <c r="K23" s="30">
        <f t="shared" si="1"/>
        <v>0</v>
      </c>
      <c r="L23" s="30">
        <v>184.32452</v>
      </c>
      <c r="M23" s="30" t="s">
        <v>3501</v>
      </c>
      <c r="N23" s="30">
        <f t="shared" si="0"/>
        <v>0</v>
      </c>
    </row>
    <row r="24" spans="1:14" ht="12.75">
      <c r="A24" s="33"/>
      <c r="B24" s="33" t="s">
        <v>68</v>
      </c>
      <c r="C24" s="15" t="s">
        <v>2355</v>
      </c>
      <c r="D24" s="9"/>
      <c r="E24" s="9"/>
      <c r="F24" s="9"/>
      <c r="G24" s="9"/>
      <c r="H24" s="9"/>
      <c r="I24" s="30">
        <f>SUM('Stavební rozpočet'!G228)</f>
        <v>0</v>
      </c>
      <c r="J24" s="30">
        <f>SUM('Stavební rozpočet'!H228)</f>
        <v>0</v>
      </c>
      <c r="K24" s="30">
        <f t="shared" si="1"/>
        <v>0</v>
      </c>
      <c r="L24" s="30">
        <v>56.62798</v>
      </c>
      <c r="M24" s="30" t="s">
        <v>3501</v>
      </c>
      <c r="N24" s="30">
        <f t="shared" si="0"/>
        <v>0</v>
      </c>
    </row>
    <row r="25" spans="1:14" ht="12.75">
      <c r="A25" s="33"/>
      <c r="B25" s="33" t="s">
        <v>69</v>
      </c>
      <c r="C25" s="15" t="s">
        <v>2366</v>
      </c>
      <c r="D25" s="9"/>
      <c r="E25" s="9"/>
      <c r="F25" s="9"/>
      <c r="G25" s="9"/>
      <c r="H25" s="9"/>
      <c r="I25" s="30">
        <f>SUM('Stavební rozpočet'!G240)</f>
        <v>0</v>
      </c>
      <c r="J25" s="30">
        <f>SUM('Stavební rozpočet'!H240)</f>
        <v>0</v>
      </c>
      <c r="K25" s="30">
        <f t="shared" si="1"/>
        <v>0</v>
      </c>
      <c r="L25" s="30">
        <v>421.29905</v>
      </c>
      <c r="M25" s="30" t="s">
        <v>3501</v>
      </c>
      <c r="N25" s="30">
        <f t="shared" si="0"/>
        <v>0</v>
      </c>
    </row>
    <row r="26" spans="1:14" ht="12.75">
      <c r="A26" s="33"/>
      <c r="B26" s="33" t="s">
        <v>70</v>
      </c>
      <c r="C26" s="15" t="s">
        <v>2379</v>
      </c>
      <c r="D26" s="9"/>
      <c r="E26" s="9"/>
      <c r="F26" s="9"/>
      <c r="G26" s="9"/>
      <c r="H26" s="9"/>
      <c r="I26" s="30">
        <f>SUM('Stavební rozpočet'!G255)</f>
        <v>0</v>
      </c>
      <c r="J26" s="30">
        <f>SUM('Stavební rozpočet'!H255)</f>
        <v>0</v>
      </c>
      <c r="K26" s="30">
        <f t="shared" si="1"/>
        <v>0</v>
      </c>
      <c r="L26" s="30">
        <v>7.60033</v>
      </c>
      <c r="M26" s="30" t="s">
        <v>3501</v>
      </c>
      <c r="N26" s="30">
        <f t="shared" si="0"/>
        <v>0</v>
      </c>
    </row>
    <row r="27" spans="1:14" ht="12.75">
      <c r="A27" s="33"/>
      <c r="B27" s="33" t="s">
        <v>717</v>
      </c>
      <c r="C27" s="15" t="s">
        <v>2391</v>
      </c>
      <c r="D27" s="9"/>
      <c r="E27" s="9"/>
      <c r="F27" s="9"/>
      <c r="G27" s="9"/>
      <c r="H27" s="9"/>
      <c r="I27" s="30">
        <f>SUM('Stavební rozpočet'!G273)</f>
        <v>0</v>
      </c>
      <c r="J27" s="30">
        <f>SUM('Stavební rozpočet'!H273)</f>
        <v>0</v>
      </c>
      <c r="K27" s="30">
        <f t="shared" si="1"/>
        <v>0</v>
      </c>
      <c r="L27" s="30">
        <v>3.51643</v>
      </c>
      <c r="M27" s="30" t="s">
        <v>3501</v>
      </c>
      <c r="N27" s="30">
        <f t="shared" si="0"/>
        <v>0</v>
      </c>
    </row>
    <row r="28" spans="1:14" ht="12.75">
      <c r="A28" s="33"/>
      <c r="B28" s="33" t="s">
        <v>718</v>
      </c>
      <c r="C28" s="15" t="s">
        <v>2403</v>
      </c>
      <c r="D28" s="9"/>
      <c r="E28" s="9"/>
      <c r="F28" s="9"/>
      <c r="G28" s="9"/>
      <c r="H28" s="9"/>
      <c r="I28" s="30">
        <f>SUM('Stavební rozpočet'!G288)</f>
        <v>0</v>
      </c>
      <c r="J28" s="30">
        <f>SUM('Stavební rozpočet'!H288)</f>
        <v>0</v>
      </c>
      <c r="K28" s="30">
        <f t="shared" si="1"/>
        <v>0</v>
      </c>
      <c r="L28" s="30">
        <v>0.89831</v>
      </c>
      <c r="M28" s="30" t="s">
        <v>3501</v>
      </c>
      <c r="N28" s="30">
        <f t="shared" si="0"/>
        <v>0</v>
      </c>
    </row>
    <row r="29" spans="1:14" ht="12.75">
      <c r="A29" s="33"/>
      <c r="B29" s="33" t="s">
        <v>719</v>
      </c>
      <c r="C29" s="15" t="s">
        <v>2407</v>
      </c>
      <c r="D29" s="9"/>
      <c r="E29" s="9"/>
      <c r="F29" s="9"/>
      <c r="G29" s="9"/>
      <c r="H29" s="9"/>
      <c r="I29" s="30">
        <f>SUM('Stavební rozpočet'!G292)</f>
        <v>0</v>
      </c>
      <c r="J29" s="30">
        <f>SUM('Stavební rozpočet'!H292)</f>
        <v>0</v>
      </c>
      <c r="K29" s="30">
        <f t="shared" si="1"/>
        <v>0</v>
      </c>
      <c r="L29" s="30">
        <v>26.51592</v>
      </c>
      <c r="M29" s="30" t="s">
        <v>3501</v>
      </c>
      <c r="N29" s="30">
        <f t="shared" si="0"/>
        <v>0</v>
      </c>
    </row>
    <row r="30" spans="1:14" ht="12.75">
      <c r="A30" s="33"/>
      <c r="B30" s="33" t="s">
        <v>727</v>
      </c>
      <c r="C30" s="15" t="s">
        <v>2434</v>
      </c>
      <c r="D30" s="9"/>
      <c r="E30" s="9"/>
      <c r="F30" s="9"/>
      <c r="G30" s="9"/>
      <c r="H30" s="9"/>
      <c r="I30" s="30">
        <f>SUM('Stavební rozpočet'!G319)</f>
        <v>0</v>
      </c>
      <c r="J30" s="30">
        <f>SUM('Stavební rozpočet'!H319)</f>
        <v>0</v>
      </c>
      <c r="K30" s="30">
        <f t="shared" si="1"/>
        <v>0</v>
      </c>
      <c r="L30" s="30">
        <v>0.7793</v>
      </c>
      <c r="M30" s="30" t="s">
        <v>3501</v>
      </c>
      <c r="N30" s="30">
        <f t="shared" si="0"/>
        <v>0</v>
      </c>
    </row>
    <row r="31" spans="1:14" ht="12.75">
      <c r="A31" s="33"/>
      <c r="B31" s="33" t="s">
        <v>728</v>
      </c>
      <c r="C31" s="15" t="s">
        <v>2455</v>
      </c>
      <c r="D31" s="9"/>
      <c r="E31" s="9"/>
      <c r="F31" s="9"/>
      <c r="G31" s="9"/>
      <c r="H31" s="9"/>
      <c r="I31" s="30">
        <f>SUM('Stavební rozpočet'!G340)</f>
        <v>0</v>
      </c>
      <c r="J31" s="30">
        <f>SUM('Stavební rozpočet'!H340)</f>
        <v>0</v>
      </c>
      <c r="K31" s="30">
        <f t="shared" si="1"/>
        <v>0</v>
      </c>
      <c r="L31" s="30">
        <v>2.24252</v>
      </c>
      <c r="M31" s="30" t="s">
        <v>3501</v>
      </c>
      <c r="N31" s="30">
        <f t="shared" si="0"/>
        <v>0</v>
      </c>
    </row>
    <row r="32" spans="1:14" ht="12.75">
      <c r="A32" s="33"/>
      <c r="B32" s="33" t="s">
        <v>729</v>
      </c>
      <c r="C32" s="15" t="s">
        <v>2509</v>
      </c>
      <c r="D32" s="9"/>
      <c r="E32" s="9"/>
      <c r="F32" s="9"/>
      <c r="G32" s="9"/>
      <c r="H32" s="9"/>
      <c r="I32" s="30">
        <f>SUM('Stavební rozpočet'!G396)</f>
        <v>0</v>
      </c>
      <c r="J32" s="30">
        <f>SUM('Stavební rozpočet'!H396)</f>
        <v>0</v>
      </c>
      <c r="K32" s="30">
        <f t="shared" si="1"/>
        <v>0</v>
      </c>
      <c r="L32" s="30">
        <v>3.08694</v>
      </c>
      <c r="M32" s="30" t="s">
        <v>3501</v>
      </c>
      <c r="N32" s="30">
        <f t="shared" si="0"/>
        <v>0</v>
      </c>
    </row>
    <row r="33" spans="1:14" ht="12.75">
      <c r="A33" s="33"/>
      <c r="B33" s="33" t="s">
        <v>731</v>
      </c>
      <c r="C33" s="15" t="s">
        <v>2543</v>
      </c>
      <c r="D33" s="9"/>
      <c r="E33" s="9"/>
      <c r="F33" s="9"/>
      <c r="G33" s="9"/>
      <c r="H33" s="9"/>
      <c r="I33" s="30">
        <f>SUM('Stavební rozpočet'!G431)</f>
        <v>0</v>
      </c>
      <c r="J33" s="30">
        <f>SUM('Stavební rozpočet'!H431)</f>
        <v>0</v>
      </c>
      <c r="K33" s="30">
        <f t="shared" si="1"/>
        <v>0</v>
      </c>
      <c r="L33" s="30">
        <v>0.68839</v>
      </c>
      <c r="M33" s="30" t="s">
        <v>3501</v>
      </c>
      <c r="N33" s="30">
        <f t="shared" si="0"/>
        <v>0</v>
      </c>
    </row>
    <row r="34" spans="1:14" ht="12.75">
      <c r="A34" s="33"/>
      <c r="B34" s="33" t="s">
        <v>737</v>
      </c>
      <c r="C34" s="15" t="s">
        <v>2566</v>
      </c>
      <c r="D34" s="9"/>
      <c r="E34" s="9"/>
      <c r="F34" s="9"/>
      <c r="G34" s="9"/>
      <c r="H34" s="9"/>
      <c r="I34" s="30">
        <f>SUM('Stavební rozpočet'!G455)</f>
        <v>0</v>
      </c>
      <c r="J34" s="30">
        <f>SUM('Stavební rozpočet'!H455)</f>
        <v>0</v>
      </c>
      <c r="K34" s="30">
        <f t="shared" si="1"/>
        <v>0</v>
      </c>
      <c r="L34" s="30">
        <v>2.06578</v>
      </c>
      <c r="M34" s="30" t="s">
        <v>3501</v>
      </c>
      <c r="N34" s="30">
        <f t="shared" si="0"/>
        <v>0</v>
      </c>
    </row>
    <row r="35" spans="1:14" ht="12.75">
      <c r="A35" s="33"/>
      <c r="B35" s="33" t="s">
        <v>739</v>
      </c>
      <c r="C35" s="15" t="s">
        <v>2591</v>
      </c>
      <c r="D35" s="9"/>
      <c r="E35" s="9"/>
      <c r="F35" s="9"/>
      <c r="G35" s="9"/>
      <c r="H35" s="9"/>
      <c r="I35" s="30">
        <f>SUM('Stavební rozpočet'!G483)</f>
        <v>0</v>
      </c>
      <c r="J35" s="30">
        <f>SUM('Stavební rozpočet'!H483)</f>
        <v>0</v>
      </c>
      <c r="K35" s="30">
        <f t="shared" si="1"/>
        <v>0</v>
      </c>
      <c r="L35" s="30">
        <v>5.71673</v>
      </c>
      <c r="M35" s="30" t="s">
        <v>3501</v>
      </c>
      <c r="N35" s="30">
        <f t="shared" si="0"/>
        <v>0</v>
      </c>
    </row>
    <row r="36" spans="1:14" ht="12.75">
      <c r="A36" s="33"/>
      <c r="B36" s="33" t="s">
        <v>740</v>
      </c>
      <c r="C36" s="15" t="s">
        <v>2630</v>
      </c>
      <c r="D36" s="9"/>
      <c r="E36" s="9"/>
      <c r="F36" s="9"/>
      <c r="G36" s="9"/>
      <c r="H36" s="9"/>
      <c r="I36" s="30">
        <f>SUM('Stavební rozpočet'!G522)</f>
        <v>0</v>
      </c>
      <c r="J36" s="30">
        <f>SUM('Stavební rozpočet'!H522)</f>
        <v>0</v>
      </c>
      <c r="K36" s="30">
        <f t="shared" si="1"/>
        <v>0</v>
      </c>
      <c r="L36" s="30">
        <v>0.19782</v>
      </c>
      <c r="M36" s="30" t="s">
        <v>3501</v>
      </c>
      <c r="N36" s="30">
        <f t="shared" si="0"/>
        <v>0</v>
      </c>
    </row>
    <row r="37" spans="1:14" ht="12.75">
      <c r="A37" s="33"/>
      <c r="B37" s="33" t="s">
        <v>741</v>
      </c>
      <c r="C37" s="15" t="s">
        <v>2675</v>
      </c>
      <c r="D37" s="9"/>
      <c r="E37" s="9"/>
      <c r="F37" s="9"/>
      <c r="G37" s="9"/>
      <c r="H37" s="9"/>
      <c r="I37" s="30">
        <f>SUM('Stavební rozpočet'!G568)</f>
        <v>0</v>
      </c>
      <c r="J37" s="30">
        <f>SUM('Stavební rozpočet'!H568)</f>
        <v>0</v>
      </c>
      <c r="K37" s="30">
        <f t="shared" si="1"/>
        <v>0</v>
      </c>
      <c r="L37" s="30">
        <v>1.89118</v>
      </c>
      <c r="M37" s="30" t="s">
        <v>3501</v>
      </c>
      <c r="N37" s="30">
        <f t="shared" si="0"/>
        <v>0</v>
      </c>
    </row>
    <row r="38" spans="1:14" ht="12.75">
      <c r="A38" s="33"/>
      <c r="B38" s="33" t="s">
        <v>768</v>
      </c>
      <c r="C38" s="15" t="s">
        <v>2693</v>
      </c>
      <c r="D38" s="9"/>
      <c r="E38" s="9"/>
      <c r="F38" s="9"/>
      <c r="G38" s="9"/>
      <c r="H38" s="9"/>
      <c r="I38" s="30">
        <f>SUM('Stavební rozpočet'!G586)</f>
        <v>0</v>
      </c>
      <c r="J38" s="30">
        <f>SUM('Stavební rozpočet'!H586)</f>
        <v>0</v>
      </c>
      <c r="K38" s="30">
        <f t="shared" si="1"/>
        <v>0</v>
      </c>
      <c r="L38" s="30">
        <v>30.1907</v>
      </c>
      <c r="M38" s="30" t="s">
        <v>3501</v>
      </c>
      <c r="N38" s="30">
        <f t="shared" si="0"/>
        <v>0</v>
      </c>
    </row>
    <row r="39" spans="1:14" ht="12.75">
      <c r="A39" s="33"/>
      <c r="B39" s="33" t="s">
        <v>770</v>
      </c>
      <c r="C39" s="15" t="s">
        <v>2716</v>
      </c>
      <c r="D39" s="9"/>
      <c r="E39" s="9"/>
      <c r="F39" s="9"/>
      <c r="G39" s="9"/>
      <c r="H39" s="9"/>
      <c r="I39" s="30">
        <f>SUM('Stavební rozpočet'!G611)</f>
        <v>0</v>
      </c>
      <c r="J39" s="30">
        <f>SUM('Stavební rozpočet'!H611)</f>
        <v>0</v>
      </c>
      <c r="K39" s="30">
        <f t="shared" si="1"/>
        <v>0</v>
      </c>
      <c r="L39" s="30">
        <v>4.3499</v>
      </c>
      <c r="M39" s="30" t="s">
        <v>3501</v>
      </c>
      <c r="N39" s="30">
        <f t="shared" si="0"/>
        <v>0</v>
      </c>
    </row>
    <row r="40" spans="1:14" ht="12.75">
      <c r="A40" s="33"/>
      <c r="B40" s="33" t="s">
        <v>771</v>
      </c>
      <c r="C40" s="15" t="s">
        <v>2729</v>
      </c>
      <c r="D40" s="9"/>
      <c r="E40" s="9"/>
      <c r="F40" s="9"/>
      <c r="G40" s="9"/>
      <c r="H40" s="9"/>
      <c r="I40" s="30">
        <f>SUM('Stavební rozpočet'!G625)</f>
        <v>0</v>
      </c>
      <c r="J40" s="30">
        <f>SUM('Stavební rozpočet'!H625)</f>
        <v>0</v>
      </c>
      <c r="K40" s="30">
        <f t="shared" si="1"/>
        <v>0</v>
      </c>
      <c r="L40" s="30">
        <v>6.42728</v>
      </c>
      <c r="M40" s="30" t="s">
        <v>3501</v>
      </c>
      <c r="N40" s="30">
        <f t="shared" si="0"/>
        <v>0</v>
      </c>
    </row>
    <row r="41" spans="1:14" ht="12.75">
      <c r="A41" s="33"/>
      <c r="B41" s="33" t="s">
        <v>772</v>
      </c>
      <c r="C41" s="15" t="s">
        <v>2740</v>
      </c>
      <c r="D41" s="9"/>
      <c r="E41" s="9"/>
      <c r="F41" s="9"/>
      <c r="G41" s="9"/>
      <c r="H41" s="9"/>
      <c r="I41" s="30">
        <f>SUM('Stavební rozpočet'!G636)</f>
        <v>0</v>
      </c>
      <c r="J41" s="30">
        <f>SUM('Stavební rozpočet'!H636)</f>
        <v>0</v>
      </c>
      <c r="K41" s="30">
        <f t="shared" si="1"/>
        <v>0</v>
      </c>
      <c r="L41" s="30">
        <v>5.04528</v>
      </c>
      <c r="M41" s="30" t="s">
        <v>3501</v>
      </c>
      <c r="N41" s="30">
        <f t="shared" si="0"/>
        <v>0</v>
      </c>
    </row>
    <row r="42" spans="1:14" ht="12.75">
      <c r="A42" s="33"/>
      <c r="B42" s="33" t="s">
        <v>773</v>
      </c>
      <c r="C42" s="15" t="s">
        <v>2784</v>
      </c>
      <c r="D42" s="9"/>
      <c r="E42" s="9"/>
      <c r="F42" s="9"/>
      <c r="G42" s="9"/>
      <c r="H42" s="9"/>
      <c r="I42" s="30">
        <f>SUM('Stavební rozpočet'!G680)</f>
        <v>0</v>
      </c>
      <c r="J42" s="30">
        <f>SUM('Stavební rozpočet'!H680)</f>
        <v>0</v>
      </c>
      <c r="K42" s="30">
        <f t="shared" si="1"/>
        <v>0</v>
      </c>
      <c r="L42" s="30">
        <v>9.04321</v>
      </c>
      <c r="M42" s="30" t="s">
        <v>3501</v>
      </c>
      <c r="N42" s="30">
        <f t="shared" si="0"/>
        <v>0</v>
      </c>
    </row>
    <row r="43" spans="1:14" ht="12.75">
      <c r="A43" s="33"/>
      <c r="B43" s="33" t="s">
        <v>777</v>
      </c>
      <c r="C43" s="15" t="s">
        <v>2820</v>
      </c>
      <c r="D43" s="9"/>
      <c r="E43" s="9"/>
      <c r="F43" s="9"/>
      <c r="G43" s="9"/>
      <c r="H43" s="9"/>
      <c r="I43" s="30">
        <f>SUM('Stavební rozpočet'!G717)</f>
        <v>0</v>
      </c>
      <c r="J43" s="30">
        <f>SUM('Stavební rozpočet'!H717)</f>
        <v>0</v>
      </c>
      <c r="K43" s="30">
        <f t="shared" si="1"/>
        <v>0</v>
      </c>
      <c r="L43" s="30">
        <v>7.10341</v>
      </c>
      <c r="M43" s="30" t="s">
        <v>3501</v>
      </c>
      <c r="N43" s="30">
        <f t="shared" si="0"/>
        <v>0</v>
      </c>
    </row>
    <row r="44" spans="1:14" ht="12.75">
      <c r="A44" s="33"/>
      <c r="B44" s="33" t="s">
        <v>782</v>
      </c>
      <c r="C44" s="15" t="s">
        <v>2830</v>
      </c>
      <c r="D44" s="9"/>
      <c r="E44" s="9"/>
      <c r="F44" s="9"/>
      <c r="G44" s="9"/>
      <c r="H44" s="9"/>
      <c r="I44" s="30">
        <f>SUM('Stavební rozpočet'!G728)</f>
        <v>0</v>
      </c>
      <c r="J44" s="30">
        <f>SUM('Stavební rozpočet'!H728)</f>
        <v>0</v>
      </c>
      <c r="K44" s="30">
        <f t="shared" si="1"/>
        <v>0</v>
      </c>
      <c r="L44" s="30">
        <v>1.71053</v>
      </c>
      <c r="M44" s="30" t="s">
        <v>3501</v>
      </c>
      <c r="N44" s="30">
        <f aca="true" t="shared" si="2" ref="N44:N75">IF(M44="T",0,K44)</f>
        <v>0</v>
      </c>
    </row>
    <row r="45" spans="1:14" ht="12.75">
      <c r="A45" s="33"/>
      <c r="B45" s="33" t="s">
        <v>783</v>
      </c>
      <c r="C45" s="15" t="s">
        <v>2836</v>
      </c>
      <c r="D45" s="9"/>
      <c r="E45" s="9"/>
      <c r="F45" s="9"/>
      <c r="G45" s="9"/>
      <c r="H45" s="9"/>
      <c r="I45" s="30">
        <f>SUM('Stavební rozpočet'!G734)</f>
        <v>0</v>
      </c>
      <c r="J45" s="30">
        <f>SUM('Stavební rozpočet'!H734)</f>
        <v>0</v>
      </c>
      <c r="K45" s="30">
        <f t="shared" si="1"/>
        <v>0</v>
      </c>
      <c r="L45" s="30">
        <v>1.36689</v>
      </c>
      <c r="M45" s="30" t="s">
        <v>3501</v>
      </c>
      <c r="N45" s="30">
        <f t="shared" si="2"/>
        <v>0</v>
      </c>
    </row>
    <row r="46" spans="1:14" ht="12.75">
      <c r="A46" s="33"/>
      <c r="B46" s="33" t="s">
        <v>787</v>
      </c>
      <c r="C46" s="15" t="s">
        <v>2840</v>
      </c>
      <c r="D46" s="9"/>
      <c r="E46" s="9"/>
      <c r="F46" s="9"/>
      <c r="G46" s="9"/>
      <c r="H46" s="9"/>
      <c r="I46" s="30">
        <f>SUM('Stavební rozpočet'!G738)</f>
        <v>0</v>
      </c>
      <c r="J46" s="30">
        <f>SUM('Stavební rozpočet'!H738)</f>
        <v>0</v>
      </c>
      <c r="K46" s="30">
        <f t="shared" si="1"/>
        <v>0</v>
      </c>
      <c r="L46" s="30">
        <v>9.5911</v>
      </c>
      <c r="M46" s="30" t="s">
        <v>3501</v>
      </c>
      <c r="N46" s="30">
        <f t="shared" si="2"/>
        <v>0</v>
      </c>
    </row>
    <row r="47" spans="1:14" ht="12.75">
      <c r="A47" s="33"/>
      <c r="B47" s="33" t="s">
        <v>788</v>
      </c>
      <c r="C47" s="15" t="s">
        <v>2846</v>
      </c>
      <c r="D47" s="9"/>
      <c r="E47" s="9"/>
      <c r="F47" s="9"/>
      <c r="G47" s="9"/>
      <c r="H47" s="9"/>
      <c r="I47" s="30">
        <f>SUM('Stavební rozpočet'!G744)</f>
        <v>0</v>
      </c>
      <c r="J47" s="30">
        <f>SUM('Stavební rozpočet'!H744)</f>
        <v>0</v>
      </c>
      <c r="K47" s="30">
        <f t="shared" si="1"/>
        <v>0</v>
      </c>
      <c r="L47" s="30">
        <v>41.68609</v>
      </c>
      <c r="M47" s="30" t="s">
        <v>3501</v>
      </c>
      <c r="N47" s="30">
        <f t="shared" si="2"/>
        <v>0</v>
      </c>
    </row>
    <row r="48" spans="1:14" ht="12.75">
      <c r="A48" s="33"/>
      <c r="B48" s="33" t="s">
        <v>789</v>
      </c>
      <c r="C48" s="15" t="s">
        <v>2850</v>
      </c>
      <c r="D48" s="9"/>
      <c r="E48" s="9"/>
      <c r="F48" s="9"/>
      <c r="G48" s="9"/>
      <c r="H48" s="9"/>
      <c r="I48" s="30">
        <f>SUM('Stavební rozpočet'!G748)</f>
        <v>0</v>
      </c>
      <c r="J48" s="30">
        <f>SUM('Stavební rozpočet'!H748)</f>
        <v>0</v>
      </c>
      <c r="K48" s="30">
        <f t="shared" si="1"/>
        <v>0</v>
      </c>
      <c r="L48" s="30">
        <v>1.23729</v>
      </c>
      <c r="M48" s="30" t="s">
        <v>3501</v>
      </c>
      <c r="N48" s="30">
        <f t="shared" si="2"/>
        <v>0</v>
      </c>
    </row>
    <row r="49" spans="1:14" ht="12.75">
      <c r="A49" s="33"/>
      <c r="B49" s="33" t="s">
        <v>790</v>
      </c>
      <c r="C49" s="15" t="s">
        <v>2861</v>
      </c>
      <c r="D49" s="9"/>
      <c r="E49" s="9"/>
      <c r="F49" s="9"/>
      <c r="G49" s="9"/>
      <c r="H49" s="9"/>
      <c r="I49" s="30">
        <f>SUM('Stavební rozpočet'!G759)</f>
        <v>0</v>
      </c>
      <c r="J49" s="30">
        <f>SUM('Stavební rozpočet'!H759)</f>
        <v>0</v>
      </c>
      <c r="K49" s="30">
        <f t="shared" si="1"/>
        <v>0</v>
      </c>
      <c r="L49" s="30">
        <v>1.59943</v>
      </c>
      <c r="M49" s="30" t="s">
        <v>3501</v>
      </c>
      <c r="N49" s="30">
        <f t="shared" si="2"/>
        <v>0</v>
      </c>
    </row>
    <row r="50" spans="1:14" ht="12.75">
      <c r="A50" s="33"/>
      <c r="B50" s="33" t="s">
        <v>93</v>
      </c>
      <c r="C50" s="15" t="s">
        <v>2864</v>
      </c>
      <c r="D50" s="9"/>
      <c r="E50" s="9"/>
      <c r="F50" s="9"/>
      <c r="G50" s="9"/>
      <c r="H50" s="9"/>
      <c r="I50" s="30">
        <f>SUM('Stavební rozpočet'!G762)</f>
        <v>0</v>
      </c>
      <c r="J50" s="30">
        <f>SUM('Stavební rozpočet'!H762)</f>
        <v>0</v>
      </c>
      <c r="K50" s="30">
        <f t="shared" si="1"/>
        <v>0</v>
      </c>
      <c r="L50" s="30">
        <v>59.3968</v>
      </c>
      <c r="M50" s="30" t="s">
        <v>3501</v>
      </c>
      <c r="N50" s="30">
        <f t="shared" si="2"/>
        <v>0</v>
      </c>
    </row>
    <row r="51" spans="1:14" ht="12.75">
      <c r="A51" s="33"/>
      <c r="B51" s="33" t="s">
        <v>95</v>
      </c>
      <c r="C51" s="15" t="s">
        <v>2909</v>
      </c>
      <c r="D51" s="9"/>
      <c r="E51" s="9"/>
      <c r="F51" s="9"/>
      <c r="G51" s="9"/>
      <c r="H51" s="9"/>
      <c r="I51" s="30">
        <f>SUM('Stavební rozpočet'!G808)</f>
        <v>0</v>
      </c>
      <c r="J51" s="30">
        <f>SUM('Stavební rozpočet'!H808)</f>
        <v>0</v>
      </c>
      <c r="K51" s="30">
        <f t="shared" si="1"/>
        <v>0</v>
      </c>
      <c r="L51" s="30">
        <v>24.8538</v>
      </c>
      <c r="M51" s="30" t="s">
        <v>3501</v>
      </c>
      <c r="N51" s="30">
        <f t="shared" si="2"/>
        <v>0</v>
      </c>
    </row>
    <row r="52" spans="1:14" ht="12.75">
      <c r="A52" s="33"/>
      <c r="B52" s="33" t="s">
        <v>97</v>
      </c>
      <c r="C52" s="15" t="s">
        <v>2928</v>
      </c>
      <c r="D52" s="9"/>
      <c r="E52" s="9"/>
      <c r="F52" s="9"/>
      <c r="G52" s="9"/>
      <c r="H52" s="9"/>
      <c r="I52" s="30">
        <f>SUM('Stavební rozpočet'!G829)</f>
        <v>0</v>
      </c>
      <c r="J52" s="30">
        <f>SUM('Stavební rozpočet'!H829)</f>
        <v>0</v>
      </c>
      <c r="K52" s="30">
        <f t="shared" si="1"/>
        <v>0</v>
      </c>
      <c r="L52" s="30">
        <v>109.59323</v>
      </c>
      <c r="M52" s="30" t="s">
        <v>3501</v>
      </c>
      <c r="N52" s="30">
        <f t="shared" si="2"/>
        <v>0</v>
      </c>
    </row>
    <row r="53" spans="1:14" ht="12.75">
      <c r="A53" s="33"/>
      <c r="B53" s="33" t="s">
        <v>100</v>
      </c>
      <c r="C53" s="15" t="s">
        <v>2933</v>
      </c>
      <c r="D53" s="9"/>
      <c r="E53" s="9"/>
      <c r="F53" s="9"/>
      <c r="G53" s="9"/>
      <c r="H53" s="9"/>
      <c r="I53" s="30">
        <f>SUM('Stavební rozpočet'!G836)</f>
        <v>0</v>
      </c>
      <c r="J53" s="30">
        <f>SUM('Stavební rozpočet'!H836)</f>
        <v>0</v>
      </c>
      <c r="K53" s="30">
        <f t="shared" si="1"/>
        <v>0</v>
      </c>
      <c r="L53" s="30">
        <v>11.91955</v>
      </c>
      <c r="M53" s="30" t="s">
        <v>3501</v>
      </c>
      <c r="N53" s="30">
        <f t="shared" si="2"/>
        <v>0</v>
      </c>
    </row>
    <row r="54" spans="1:14" ht="12.75">
      <c r="A54" s="33"/>
      <c r="B54" s="33" t="s">
        <v>101</v>
      </c>
      <c r="C54" s="15" t="s">
        <v>2939</v>
      </c>
      <c r="D54" s="9"/>
      <c r="E54" s="9"/>
      <c r="F54" s="9"/>
      <c r="G54" s="9"/>
      <c r="H54" s="9"/>
      <c r="I54" s="30">
        <f>SUM('Stavební rozpočet'!G843)</f>
        <v>0</v>
      </c>
      <c r="J54" s="30">
        <f>SUM('Stavební rozpočet'!H843)</f>
        <v>0</v>
      </c>
      <c r="K54" s="30">
        <f t="shared" si="1"/>
        <v>0</v>
      </c>
      <c r="L54" s="30">
        <v>1.46216</v>
      </c>
      <c r="M54" s="30" t="s">
        <v>3501</v>
      </c>
      <c r="N54" s="30">
        <f t="shared" si="2"/>
        <v>0</v>
      </c>
    </row>
    <row r="55" spans="1:14" ht="12.75">
      <c r="A55" s="33"/>
      <c r="B55" s="33" t="s">
        <v>102</v>
      </c>
      <c r="C55" s="15" t="s">
        <v>2959</v>
      </c>
      <c r="D55" s="9"/>
      <c r="E55" s="9"/>
      <c r="F55" s="9"/>
      <c r="G55" s="9"/>
      <c r="H55" s="9"/>
      <c r="I55" s="30">
        <f>SUM('Stavební rozpočet'!G864)</f>
        <v>0</v>
      </c>
      <c r="J55" s="30">
        <f>SUM('Stavební rozpočet'!H864)</f>
        <v>0</v>
      </c>
      <c r="K55" s="30">
        <f t="shared" si="1"/>
        <v>0</v>
      </c>
      <c r="L55" s="30">
        <v>253.1817</v>
      </c>
      <c r="M55" s="30" t="s">
        <v>3501</v>
      </c>
      <c r="N55" s="30">
        <f t="shared" si="2"/>
        <v>0</v>
      </c>
    </row>
    <row r="56" spans="1:14" ht="12.75">
      <c r="A56" s="33"/>
      <c r="B56" s="33" t="s">
        <v>1764</v>
      </c>
      <c r="C56" s="15" t="s">
        <v>2975</v>
      </c>
      <c r="D56" s="9"/>
      <c r="E56" s="9"/>
      <c r="F56" s="9"/>
      <c r="G56" s="9"/>
      <c r="H56" s="9"/>
      <c r="I56" s="30">
        <f>SUM('Stavební rozpočet'!G880)</f>
        <v>0</v>
      </c>
      <c r="J56" s="30">
        <f>SUM('Stavební rozpočet'!H880)</f>
        <v>0</v>
      </c>
      <c r="K56" s="30">
        <f t="shared" si="1"/>
        <v>0</v>
      </c>
      <c r="L56" s="30">
        <v>5.78536</v>
      </c>
      <c r="M56" s="30" t="s">
        <v>3501</v>
      </c>
      <c r="N56" s="30">
        <f t="shared" si="2"/>
        <v>0</v>
      </c>
    </row>
    <row r="57" spans="1:14" ht="12.75">
      <c r="A57" s="33"/>
      <c r="B57" s="33" t="s">
        <v>1883</v>
      </c>
      <c r="C57" s="15" t="s">
        <v>3137</v>
      </c>
      <c r="D57" s="9"/>
      <c r="E57" s="9"/>
      <c r="F57" s="9"/>
      <c r="G57" s="9"/>
      <c r="H57" s="9"/>
      <c r="I57" s="30">
        <f>SUM('Stavební rozpočet'!G1080)</f>
        <v>0</v>
      </c>
      <c r="J57" s="30">
        <f>SUM('Stavební rozpočet'!H1080)</f>
        <v>0</v>
      </c>
      <c r="K57" s="30">
        <f t="shared" si="1"/>
        <v>0</v>
      </c>
      <c r="L57" s="30">
        <v>1.0149</v>
      </c>
      <c r="M57" s="30" t="s">
        <v>3501</v>
      </c>
      <c r="N57" s="30">
        <f t="shared" si="2"/>
        <v>0</v>
      </c>
    </row>
    <row r="58" spans="1:14" ht="12.75">
      <c r="A58" s="33"/>
      <c r="B58" s="33" t="s">
        <v>2048</v>
      </c>
      <c r="C58" s="15" t="s">
        <v>3324</v>
      </c>
      <c r="D58" s="9"/>
      <c r="E58" s="9"/>
      <c r="F58" s="9"/>
      <c r="G58" s="9"/>
      <c r="H58" s="9"/>
      <c r="I58" s="30">
        <f>SUM('Stavební rozpočet'!G1273)</f>
        <v>0</v>
      </c>
      <c r="J58" s="30">
        <f>SUM('Stavební rozpočet'!H1273)</f>
        <v>0</v>
      </c>
      <c r="K58" s="30">
        <f t="shared" si="1"/>
        <v>0</v>
      </c>
      <c r="L58" s="30">
        <v>4.02084</v>
      </c>
      <c r="M58" s="30" t="s">
        <v>3501</v>
      </c>
      <c r="N58" s="30">
        <f t="shared" si="2"/>
        <v>0</v>
      </c>
    </row>
    <row r="59" spans="1:14" ht="12.75">
      <c r="A59" s="33"/>
      <c r="B59" s="33" t="s">
        <v>2124</v>
      </c>
      <c r="C59" s="15" t="s">
        <v>3421</v>
      </c>
      <c r="D59" s="9"/>
      <c r="E59" s="9"/>
      <c r="F59" s="9"/>
      <c r="G59" s="9"/>
      <c r="H59" s="9"/>
      <c r="I59" s="30">
        <f>SUM('Stavební rozpočet'!G1373)</f>
        <v>0</v>
      </c>
      <c r="J59" s="30">
        <f>SUM('Stavební rozpočet'!H1373)</f>
        <v>0</v>
      </c>
      <c r="K59" s="30">
        <f t="shared" si="1"/>
        <v>0</v>
      </c>
      <c r="L59" s="30">
        <v>0.18812</v>
      </c>
      <c r="M59" s="30" t="s">
        <v>3501</v>
      </c>
      <c r="N59" s="30">
        <f t="shared" si="2"/>
        <v>0</v>
      </c>
    </row>
    <row r="60" spans="1:14" ht="12.75">
      <c r="A60" s="34"/>
      <c r="B60" s="34" t="s">
        <v>2142</v>
      </c>
      <c r="C60" s="38" t="s">
        <v>3443</v>
      </c>
      <c r="D60" s="41"/>
      <c r="E60" s="41"/>
      <c r="F60" s="41"/>
      <c r="G60" s="41"/>
      <c r="H60" s="41"/>
      <c r="I60" s="45">
        <f>SUM('Stavební rozpočet'!G1399)</f>
        <v>0</v>
      </c>
      <c r="J60" s="45">
        <f>SUM('Stavební rozpočet'!H1399)</f>
        <v>0</v>
      </c>
      <c r="K60" s="30">
        <f t="shared" si="1"/>
        <v>0</v>
      </c>
      <c r="L60" s="45">
        <v>0</v>
      </c>
      <c r="M60" s="30" t="s">
        <v>3501</v>
      </c>
      <c r="N60" s="30">
        <f t="shared" si="2"/>
        <v>0</v>
      </c>
    </row>
    <row r="61" spans="1:12" ht="12.75">
      <c r="A61" s="6"/>
      <c r="B61" s="6"/>
      <c r="C61" s="6"/>
      <c r="D61" s="6"/>
      <c r="E61" s="6"/>
      <c r="F61" s="6"/>
      <c r="G61" s="6"/>
      <c r="H61" s="6"/>
      <c r="I61" s="13" t="s">
        <v>3476</v>
      </c>
      <c r="J61" s="22"/>
      <c r="K61" s="31">
        <f>SUM(N12:N60)</f>
        <v>0</v>
      </c>
      <c r="L61" s="6"/>
    </row>
  </sheetData>
  <sheetProtection/>
  <mergeCells count="78">
    <mergeCell ref="C57:H57"/>
    <mergeCell ref="C58:H58"/>
    <mergeCell ref="C59:H59"/>
    <mergeCell ref="C60:H60"/>
    <mergeCell ref="I61:J61"/>
    <mergeCell ref="C51:H51"/>
    <mergeCell ref="C52:H52"/>
    <mergeCell ref="C53:H53"/>
    <mergeCell ref="C54:H54"/>
    <mergeCell ref="C55:H55"/>
    <mergeCell ref="C56:H56"/>
    <mergeCell ref="C45:H45"/>
    <mergeCell ref="C46:H46"/>
    <mergeCell ref="C47:H47"/>
    <mergeCell ref="C48:H48"/>
    <mergeCell ref="C49:H49"/>
    <mergeCell ref="C50:H50"/>
    <mergeCell ref="C39:H39"/>
    <mergeCell ref="C40:H40"/>
    <mergeCell ref="C41:H41"/>
    <mergeCell ref="C42:H42"/>
    <mergeCell ref="C43:H43"/>
    <mergeCell ref="C44:H44"/>
    <mergeCell ref="C33:H33"/>
    <mergeCell ref="C34:H34"/>
    <mergeCell ref="C35:H35"/>
    <mergeCell ref="C36:H36"/>
    <mergeCell ref="C37:H37"/>
    <mergeCell ref="C38:H38"/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15:H15"/>
    <mergeCell ref="C16:H16"/>
    <mergeCell ref="C17:H17"/>
    <mergeCell ref="C18:H18"/>
    <mergeCell ref="C19:H19"/>
    <mergeCell ref="C20:H20"/>
    <mergeCell ref="C10:H10"/>
    <mergeCell ref="C11:H11"/>
    <mergeCell ref="I10:K10"/>
    <mergeCell ref="C12:H12"/>
    <mergeCell ref="C13:H13"/>
    <mergeCell ref="C14:H14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I10" sqref="I10:I11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47" t="s">
        <v>3502</v>
      </c>
      <c r="B1" s="61"/>
      <c r="C1" s="61"/>
      <c r="D1" s="61"/>
      <c r="E1" s="61"/>
      <c r="F1" s="61"/>
      <c r="G1" s="61"/>
      <c r="H1" s="61"/>
      <c r="I1" s="61"/>
    </row>
    <row r="2" spans="1:10" ht="12.75">
      <c r="A2" s="2" t="s">
        <v>1</v>
      </c>
      <c r="B2" s="8"/>
      <c r="C2" s="13" t="s">
        <v>2149</v>
      </c>
      <c r="D2" s="22"/>
      <c r="E2" s="16" t="s">
        <v>3477</v>
      </c>
      <c r="F2" s="16" t="s">
        <v>3482</v>
      </c>
      <c r="G2" s="8"/>
      <c r="H2" s="16" t="s">
        <v>3538</v>
      </c>
      <c r="I2" s="80"/>
      <c r="J2" s="143"/>
    </row>
    <row r="3" spans="1:10" ht="12.75">
      <c r="A3" s="3"/>
      <c r="B3" s="9"/>
      <c r="C3" s="14"/>
      <c r="D3" s="14"/>
      <c r="E3" s="9"/>
      <c r="F3" s="9"/>
      <c r="G3" s="9"/>
      <c r="H3" s="9"/>
      <c r="I3" s="26"/>
      <c r="J3" s="143"/>
    </row>
    <row r="4" spans="1:10" ht="12.75">
      <c r="A4" s="4" t="s">
        <v>2</v>
      </c>
      <c r="B4" s="9"/>
      <c r="C4" s="15" t="s">
        <v>2150</v>
      </c>
      <c r="D4" s="9"/>
      <c r="E4" s="15" t="s">
        <v>3478</v>
      </c>
      <c r="F4" s="15" t="s">
        <v>3483</v>
      </c>
      <c r="G4" s="9"/>
      <c r="H4" s="15" t="s">
        <v>3538</v>
      </c>
      <c r="I4" s="81"/>
      <c r="J4" s="143"/>
    </row>
    <row r="5" spans="1:10" ht="12.75">
      <c r="A5" s="3"/>
      <c r="B5" s="9"/>
      <c r="C5" s="9"/>
      <c r="D5" s="9"/>
      <c r="E5" s="9"/>
      <c r="F5" s="9"/>
      <c r="G5" s="9"/>
      <c r="H5" s="9"/>
      <c r="I5" s="26"/>
      <c r="J5" s="143"/>
    </row>
    <row r="6" spans="1:10" ht="12.75">
      <c r="A6" s="4" t="s">
        <v>3</v>
      </c>
      <c r="B6" s="9"/>
      <c r="C6" s="15" t="s">
        <v>2151</v>
      </c>
      <c r="D6" s="9"/>
      <c r="E6" s="15" t="s">
        <v>3479</v>
      </c>
      <c r="F6" s="15"/>
      <c r="G6" s="9"/>
      <c r="H6" s="15" t="s">
        <v>3538</v>
      </c>
      <c r="I6" s="81"/>
      <c r="J6" s="143"/>
    </row>
    <row r="7" spans="1:10" ht="12.75">
      <c r="A7" s="3"/>
      <c r="B7" s="9"/>
      <c r="C7" s="9"/>
      <c r="D7" s="9"/>
      <c r="E7" s="9"/>
      <c r="F7" s="9"/>
      <c r="G7" s="9"/>
      <c r="H7" s="9"/>
      <c r="I7" s="26"/>
      <c r="J7" s="143"/>
    </row>
    <row r="8" spans="1:10" ht="12.75">
      <c r="A8" s="4" t="s">
        <v>3451</v>
      </c>
      <c r="B8" s="9"/>
      <c r="C8" s="17"/>
      <c r="D8" s="9"/>
      <c r="E8" s="15" t="s">
        <v>3452</v>
      </c>
      <c r="F8" s="9"/>
      <c r="G8" s="9"/>
      <c r="H8" s="15" t="s">
        <v>3539</v>
      </c>
      <c r="I8" s="81" t="s">
        <v>1098</v>
      </c>
      <c r="J8" s="143"/>
    </row>
    <row r="9" spans="1:10" ht="12.75">
      <c r="A9" s="3"/>
      <c r="B9" s="9"/>
      <c r="C9" s="9"/>
      <c r="D9" s="9"/>
      <c r="E9" s="9"/>
      <c r="F9" s="9"/>
      <c r="G9" s="9"/>
      <c r="H9" s="9"/>
      <c r="I9" s="26"/>
      <c r="J9" s="143"/>
    </row>
    <row r="10" spans="1:10" ht="12.75">
      <c r="A10" s="4" t="s">
        <v>4</v>
      </c>
      <c r="B10" s="9"/>
      <c r="C10" s="15"/>
      <c r="D10" s="9"/>
      <c r="E10" s="15" t="s">
        <v>3480</v>
      </c>
      <c r="F10" s="15" t="s">
        <v>3484</v>
      </c>
      <c r="G10" s="9"/>
      <c r="H10" s="15" t="s">
        <v>3540</v>
      </c>
      <c r="I10" s="82">
        <v>41078</v>
      </c>
      <c r="J10" s="143"/>
    </row>
    <row r="11" spans="1:10" ht="12.75">
      <c r="A11" s="48"/>
      <c r="B11" s="41"/>
      <c r="C11" s="41"/>
      <c r="D11" s="41"/>
      <c r="E11" s="41"/>
      <c r="F11" s="41"/>
      <c r="G11" s="41"/>
      <c r="H11" s="41"/>
      <c r="I11" s="83"/>
      <c r="J11" s="143"/>
    </row>
    <row r="12" spans="1:10" ht="23.25" customHeight="1">
      <c r="A12" s="49" t="s">
        <v>3503</v>
      </c>
      <c r="B12" s="62"/>
      <c r="C12" s="62"/>
      <c r="D12" s="62"/>
      <c r="E12" s="62"/>
      <c r="F12" s="62"/>
      <c r="G12" s="62"/>
      <c r="H12" s="62"/>
      <c r="I12" s="62"/>
      <c r="J12" s="140"/>
    </row>
    <row r="13" spans="1:10" ht="26.25" customHeight="1">
      <c r="A13" s="50" t="s">
        <v>3504</v>
      </c>
      <c r="B13" s="63" t="s">
        <v>3516</v>
      </c>
      <c r="C13" s="70"/>
      <c r="D13" s="50" t="s">
        <v>3518</v>
      </c>
      <c r="E13" s="63" t="s">
        <v>3526</v>
      </c>
      <c r="F13" s="70"/>
      <c r="G13" s="50" t="s">
        <v>3527</v>
      </c>
      <c r="H13" s="63" t="s">
        <v>3541</v>
      </c>
      <c r="I13" s="70"/>
      <c r="J13" s="143"/>
    </row>
    <row r="14" spans="1:10" ht="15" customHeight="1">
      <c r="A14" s="51" t="s">
        <v>3505</v>
      </c>
      <c r="B14" s="64" t="s">
        <v>3517</v>
      </c>
      <c r="C14" s="78">
        <f>SUM('Stavební rozpočet'!Q12:Q1405)</f>
        <v>0</v>
      </c>
      <c r="D14" s="74" t="s">
        <v>3519</v>
      </c>
      <c r="E14" s="76"/>
      <c r="F14" s="78">
        <v>0</v>
      </c>
      <c r="G14" s="74" t="s">
        <v>3528</v>
      </c>
      <c r="H14" s="76"/>
      <c r="I14" s="78">
        <f>ROUND(C22*(1.75/100),2)</f>
        <v>0</v>
      </c>
      <c r="J14" s="143"/>
    </row>
    <row r="15" spans="1:10" ht="15" customHeight="1">
      <c r="A15" s="52"/>
      <c r="B15" s="64" t="s">
        <v>3481</v>
      </c>
      <c r="C15" s="78">
        <f>SUM('Stavební rozpočet'!R12:R1405)</f>
        <v>0</v>
      </c>
      <c r="D15" s="74" t="s">
        <v>3520</v>
      </c>
      <c r="E15" s="76"/>
      <c r="F15" s="78">
        <v>0</v>
      </c>
      <c r="G15" s="74" t="s">
        <v>3529</v>
      </c>
      <c r="H15" s="76"/>
      <c r="I15" s="78">
        <v>0</v>
      </c>
      <c r="J15" s="143"/>
    </row>
    <row r="16" spans="1:10" ht="15" customHeight="1">
      <c r="A16" s="51" t="s">
        <v>3506</v>
      </c>
      <c r="B16" s="64" t="s">
        <v>3517</v>
      </c>
      <c r="C16" s="78">
        <f>SUM('Stavební rozpočet'!S12:S1405)</f>
        <v>0</v>
      </c>
      <c r="D16" s="74" t="s">
        <v>3521</v>
      </c>
      <c r="E16" s="76"/>
      <c r="F16" s="78">
        <v>0</v>
      </c>
      <c r="G16" s="74" t="s">
        <v>3530</v>
      </c>
      <c r="H16" s="76"/>
      <c r="I16" s="78">
        <v>0</v>
      </c>
      <c r="J16" s="143"/>
    </row>
    <row r="17" spans="1:10" ht="15" customHeight="1">
      <c r="A17" s="52"/>
      <c r="B17" s="64" t="s">
        <v>3481</v>
      </c>
      <c r="C17" s="78">
        <f>SUM('Stavební rozpočet'!T12:T1405)</f>
        <v>0</v>
      </c>
      <c r="D17" s="74"/>
      <c r="E17" s="76"/>
      <c r="F17" s="79"/>
      <c r="G17" s="74" t="s">
        <v>3531</v>
      </c>
      <c r="H17" s="76"/>
      <c r="I17" s="78">
        <v>0</v>
      </c>
      <c r="J17" s="143"/>
    </row>
    <row r="18" spans="1:10" ht="15" customHeight="1">
      <c r="A18" s="51" t="s">
        <v>3507</v>
      </c>
      <c r="B18" s="64" t="s">
        <v>3517</v>
      </c>
      <c r="C18" s="78">
        <f>SUM('Stavební rozpočet'!U12:U1405)</f>
        <v>0</v>
      </c>
      <c r="D18" s="74"/>
      <c r="E18" s="76"/>
      <c r="F18" s="79"/>
      <c r="G18" s="74" t="s">
        <v>3532</v>
      </c>
      <c r="H18" s="76"/>
      <c r="I18" s="78">
        <v>0</v>
      </c>
      <c r="J18" s="143"/>
    </row>
    <row r="19" spans="1:10" ht="15" customHeight="1">
      <c r="A19" s="52"/>
      <c r="B19" s="64" t="s">
        <v>3481</v>
      </c>
      <c r="C19" s="78">
        <f>SUM('Stavební rozpočet'!V12:V1405)</f>
        <v>0</v>
      </c>
      <c r="D19" s="74"/>
      <c r="E19" s="76"/>
      <c r="F19" s="79"/>
      <c r="G19" s="74" t="s">
        <v>3533</v>
      </c>
      <c r="H19" s="76"/>
      <c r="I19" s="78">
        <v>0</v>
      </c>
      <c r="J19" s="143"/>
    </row>
    <row r="20" spans="1:10" ht="15" customHeight="1">
      <c r="A20" s="53" t="s">
        <v>3508</v>
      </c>
      <c r="B20" s="65"/>
      <c r="C20" s="78">
        <f>SUM('Stavební rozpočet'!W12:W1405)</f>
        <v>0</v>
      </c>
      <c r="D20" s="74"/>
      <c r="E20" s="76"/>
      <c r="F20" s="79"/>
      <c r="G20" s="74"/>
      <c r="H20" s="76"/>
      <c r="I20" s="79"/>
      <c r="J20" s="143"/>
    </row>
    <row r="21" spans="1:10" ht="15" customHeight="1">
      <c r="A21" s="53" t="s">
        <v>3509</v>
      </c>
      <c r="B21" s="65"/>
      <c r="C21" s="78">
        <f>SUM('Stavební rozpočet'!O12:O1405)</f>
        <v>0</v>
      </c>
      <c r="D21" s="74"/>
      <c r="E21" s="76"/>
      <c r="F21" s="79"/>
      <c r="G21" s="74"/>
      <c r="H21" s="76"/>
      <c r="I21" s="79"/>
      <c r="J21" s="143"/>
    </row>
    <row r="22" spans="1:10" ht="16.5" customHeight="1">
      <c r="A22" s="53" t="s">
        <v>3510</v>
      </c>
      <c r="B22" s="65"/>
      <c r="C22" s="78">
        <f>SUM(C14:C21)</f>
        <v>0</v>
      </c>
      <c r="D22" s="53" t="s">
        <v>3522</v>
      </c>
      <c r="E22" s="65"/>
      <c r="F22" s="78">
        <f>SUM(F14:F21)</f>
        <v>0</v>
      </c>
      <c r="G22" s="53" t="s">
        <v>3534</v>
      </c>
      <c r="H22" s="65"/>
      <c r="I22" s="78">
        <f>SUM(I14:I21)</f>
        <v>0</v>
      </c>
      <c r="J22" s="143"/>
    </row>
    <row r="23" spans="1:10" ht="12.75">
      <c r="A23" s="54"/>
      <c r="B23" s="54"/>
      <c r="C23" s="54"/>
      <c r="D23" s="6"/>
      <c r="E23" s="6"/>
      <c r="F23" s="6"/>
      <c r="G23" s="6"/>
      <c r="H23" s="6"/>
      <c r="I23" s="6"/>
      <c r="J23" s="140"/>
    </row>
    <row r="24" spans="1:10" ht="15" customHeight="1">
      <c r="A24" s="55" t="s">
        <v>3511</v>
      </c>
      <c r="B24" s="66"/>
      <c r="C24" s="84">
        <f>SUM('Stavební rozpočet'!Y12:Y1405)</f>
        <v>0</v>
      </c>
      <c r="D24" s="75"/>
      <c r="E24" s="77"/>
      <c r="F24" s="77"/>
      <c r="G24" s="77"/>
      <c r="H24" s="77"/>
      <c r="I24" s="77"/>
      <c r="J24" s="140"/>
    </row>
    <row r="25" spans="1:10" ht="15" customHeight="1">
      <c r="A25" s="55" t="s">
        <v>3512</v>
      </c>
      <c r="B25" s="66"/>
      <c r="C25" s="84">
        <f>SUM('Stavební rozpočet'!Z12:Z1405)</f>
        <v>0</v>
      </c>
      <c r="D25" s="55" t="s">
        <v>3523</v>
      </c>
      <c r="E25" s="66"/>
      <c r="F25" s="84">
        <f>ROUND(C25*(14/100),2)</f>
        <v>0</v>
      </c>
      <c r="G25" s="55" t="s">
        <v>3535</v>
      </c>
      <c r="H25" s="66"/>
      <c r="I25" s="84">
        <f>SUM(C24:C26)</f>
        <v>0</v>
      </c>
      <c r="J25" s="143"/>
    </row>
    <row r="26" spans="1:10" ht="15" customHeight="1">
      <c r="A26" s="55" t="s">
        <v>3513</v>
      </c>
      <c r="B26" s="66"/>
      <c r="C26" s="84">
        <f>SUM('Stavební rozpočet'!AA12:AA1405)+(F22+I22)</f>
        <v>0</v>
      </c>
      <c r="D26" s="55" t="s">
        <v>3524</v>
      </c>
      <c r="E26" s="66"/>
      <c r="F26" s="84">
        <f>ROUND(C26*(20/100),2)</f>
        <v>0</v>
      </c>
      <c r="G26" s="55" t="s">
        <v>3536</v>
      </c>
      <c r="H26" s="66"/>
      <c r="I26" s="84">
        <f>SUM(F25:F26)+I25</f>
        <v>0</v>
      </c>
      <c r="J26" s="143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140"/>
    </row>
    <row r="28" spans="1:10" ht="14.25" customHeight="1">
      <c r="A28" s="57" t="s">
        <v>3514</v>
      </c>
      <c r="B28" s="67"/>
      <c r="C28" s="71"/>
      <c r="D28" s="57" t="s">
        <v>3525</v>
      </c>
      <c r="E28" s="67"/>
      <c r="F28" s="71"/>
      <c r="G28" s="57" t="s">
        <v>3537</v>
      </c>
      <c r="H28" s="67"/>
      <c r="I28" s="71"/>
      <c r="J28" s="143"/>
    </row>
    <row r="29" spans="1:10" ht="14.25" customHeight="1">
      <c r="A29" s="58"/>
      <c r="B29" s="68"/>
      <c r="C29" s="72"/>
      <c r="D29" s="58"/>
      <c r="E29" s="68"/>
      <c r="F29" s="72"/>
      <c r="G29" s="58"/>
      <c r="H29" s="68"/>
      <c r="I29" s="72"/>
      <c r="J29" s="143"/>
    </row>
    <row r="30" spans="1:10" ht="14.25" customHeight="1">
      <c r="A30" s="58"/>
      <c r="B30" s="68"/>
      <c r="C30" s="72"/>
      <c r="D30" s="58"/>
      <c r="E30" s="68"/>
      <c r="F30" s="72"/>
      <c r="G30" s="58"/>
      <c r="H30" s="68"/>
      <c r="I30" s="72"/>
      <c r="J30" s="143"/>
    </row>
    <row r="31" spans="1:10" ht="14.25" customHeight="1">
      <c r="A31" s="58"/>
      <c r="B31" s="68"/>
      <c r="C31" s="72"/>
      <c r="D31" s="58"/>
      <c r="E31" s="68"/>
      <c r="F31" s="72"/>
      <c r="G31" s="58"/>
      <c r="H31" s="68"/>
      <c r="I31" s="72"/>
      <c r="J31" s="143"/>
    </row>
    <row r="32" spans="1:10" ht="14.25" customHeight="1">
      <c r="A32" s="59" t="s">
        <v>3515</v>
      </c>
      <c r="B32" s="69"/>
      <c r="C32" s="73"/>
      <c r="D32" s="59" t="s">
        <v>3515</v>
      </c>
      <c r="E32" s="69"/>
      <c r="F32" s="73"/>
      <c r="G32" s="59" t="s">
        <v>3515</v>
      </c>
      <c r="H32" s="69"/>
      <c r="I32" s="73"/>
      <c r="J32" s="143"/>
    </row>
    <row r="33" spans="1:10" ht="12.75">
      <c r="A33" s="60"/>
      <c r="B33" s="60"/>
      <c r="C33" s="60"/>
      <c r="D33" s="60"/>
      <c r="E33" s="60"/>
      <c r="F33" s="60"/>
      <c r="G33" s="60"/>
      <c r="H33" s="60"/>
      <c r="I33" s="60"/>
      <c r="J33" s="140"/>
    </row>
  </sheetData>
  <sheetProtection/>
  <mergeCells count="78">
    <mergeCell ref="G29:I29"/>
    <mergeCell ref="G30:I30"/>
    <mergeCell ref="G31:I31"/>
    <mergeCell ref="G32:I32"/>
    <mergeCell ref="A29:C29"/>
    <mergeCell ref="A30:C30"/>
    <mergeCell ref="A31:C31"/>
    <mergeCell ref="A32:C32"/>
    <mergeCell ref="D28:F28"/>
    <mergeCell ref="D29:F29"/>
    <mergeCell ref="D30:F30"/>
    <mergeCell ref="D31:F31"/>
    <mergeCell ref="D32:F32"/>
    <mergeCell ref="A26:B26"/>
    <mergeCell ref="D25:E25"/>
    <mergeCell ref="D26:E26"/>
    <mergeCell ref="G25:H25"/>
    <mergeCell ref="G26:H26"/>
    <mergeCell ref="A28:C28"/>
    <mergeCell ref="G28:I28"/>
    <mergeCell ref="G19:H19"/>
    <mergeCell ref="G20:H20"/>
    <mergeCell ref="G21:H21"/>
    <mergeCell ref="G22:H22"/>
    <mergeCell ref="A24:B24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Ludmila Votavová</cp:lastModifiedBy>
  <cp:lastPrinted>2012-07-12T15:30:16Z</cp:lastPrinted>
  <dcterms:created xsi:type="dcterms:W3CDTF">2012-07-12T15:19:41Z</dcterms:created>
  <dcterms:modified xsi:type="dcterms:W3CDTF">2012-07-12T16:12:15Z</dcterms:modified>
  <cp:category/>
  <cp:version/>
  <cp:contentType/>
  <cp:contentStatus/>
</cp:coreProperties>
</file>